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filterPrivacy="1" defaultThemeVersion="124226"/>
  <xr:revisionPtr revIDLastSave="0" documentId="13_ncr:1_{FACBBFF3-2FE9-464C-84A8-CA8EAA60A292}" xr6:coauthVersionLast="45" xr6:coauthVersionMax="45" xr10:uidLastSave="{00000000-0000-0000-0000-000000000000}"/>
  <bookViews>
    <workbookView xWindow="-120" yWindow="-120" windowWidth="29040" windowHeight="15840" tabRatio="907" firstSheet="1" activeTab="4" xr2:uid="{00000000-000D-0000-FFFF-FFFF00000000}"/>
  </bookViews>
  <sheets>
    <sheet name="Титульна сторінка" sheetId="8" r:id="rId1"/>
    <sheet name="7. Потужність приєднання" sheetId="7" r:id="rId2"/>
    <sheet name="18. Технічний стан сценарій 1" sheetId="5" r:id="rId3"/>
    <sheet name="18. Технічний стан сценарій 2" sheetId="16" r:id="rId4"/>
    <sheet name="19. Незавершене будівництво" sheetId="6" r:id="rId5"/>
    <sheet name="20. План інвестицій " sheetId="9" r:id="rId6"/>
    <sheet name="ТЕО" sheetId="12" r:id="rId7"/>
    <sheet name="21 Перелік заходів сценарій 1" sheetId="14" r:id="rId8"/>
    <sheet name="21. Перелік заходів сценарій 2" sheetId="15" r:id="rId9"/>
  </sheets>
  <definedNames>
    <definedName name="_xlnm._FilterDatabase" localSheetId="7" hidden="1">'21 Перелік заходів сценарій 1'!$A$5:$Y$99</definedName>
    <definedName name="_xlnm._FilterDatabase" localSheetId="8" hidden="1">'21. Перелік заходів сценарій 2'!$A$5:$Y$109</definedName>
    <definedName name="_xlnm.Print_Area" localSheetId="2">'18. Технічний стан сценарій 1'!$A$1:$J$107</definedName>
    <definedName name="_xlnm.Print_Area" localSheetId="4">'19. Незавершене будівництво'!$A$1:$I$46</definedName>
    <definedName name="_xlnm.Print_Area" localSheetId="5">'20. План інвестицій '!$A$1:$H$41</definedName>
    <definedName name="_xlnm.Print_Area" localSheetId="7">'21 Перелік заходів сценарій 1'!$A$1:$W$111</definedName>
    <definedName name="_xlnm.Print_Area" localSheetId="8">'21. Перелік заходів сценарій 2'!$A$1:$V$118</definedName>
    <definedName name="_xlnm.Print_Area" localSheetId="0">'Титульна сторінка'!$A:$G</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M25" i="15" l="1"/>
  <c r="M50" i="15"/>
  <c r="N50" i="15"/>
  <c r="O25" i="15"/>
  <c r="P14" i="15"/>
  <c r="P50" i="15"/>
  <c r="O50" i="15"/>
  <c r="N25" i="15"/>
  <c r="H31" i="16" l="1"/>
  <c r="I31" i="16"/>
  <c r="J33" i="16"/>
  <c r="J31" i="16" s="1"/>
  <c r="G33" i="16"/>
  <c r="G31" i="16" s="1"/>
  <c r="I41" i="15" l="1"/>
  <c r="E42" i="15"/>
  <c r="E41" i="15" s="1"/>
  <c r="E107" i="15"/>
  <c r="P108" i="15"/>
  <c r="O108" i="15"/>
  <c r="N108" i="15"/>
  <c r="M108" i="15"/>
  <c r="L108" i="15"/>
  <c r="I108" i="15"/>
  <c r="E106" i="15"/>
  <c r="E105" i="15"/>
  <c r="E104" i="15"/>
  <c r="E103" i="15"/>
  <c r="P100" i="15"/>
  <c r="O100" i="15"/>
  <c r="M100" i="15"/>
  <c r="L100" i="15"/>
  <c r="I100" i="15"/>
  <c r="O99" i="15"/>
  <c r="O98" i="15" s="1"/>
  <c r="N99" i="15"/>
  <c r="M99" i="15"/>
  <c r="I99" i="15"/>
  <c r="I98" i="15" s="1"/>
  <c r="D99" i="15"/>
  <c r="C99" i="15"/>
  <c r="P97" i="15"/>
  <c r="O97" i="15"/>
  <c r="N97" i="15"/>
  <c r="M97" i="15"/>
  <c r="L97" i="15"/>
  <c r="I97" i="15"/>
  <c r="D97" i="15"/>
  <c r="C97" i="15"/>
  <c r="P96" i="15"/>
  <c r="P95" i="15" s="1"/>
  <c r="O96" i="15"/>
  <c r="O95" i="15" s="1"/>
  <c r="O101" i="15" s="1"/>
  <c r="N96" i="15"/>
  <c r="N95" i="15" s="1"/>
  <c r="M96" i="15"/>
  <c r="M95" i="15" s="1"/>
  <c r="L96" i="15"/>
  <c r="L95" i="15" s="1"/>
  <c r="I96" i="15"/>
  <c r="I95" i="15" s="1"/>
  <c r="I101" i="15" s="1"/>
  <c r="D96" i="15"/>
  <c r="C96" i="15"/>
  <c r="E94" i="15"/>
  <c r="E93" i="15"/>
  <c r="P92" i="15"/>
  <c r="P99" i="15" s="1"/>
  <c r="L92" i="15"/>
  <c r="L99" i="15" s="1"/>
  <c r="L98" i="15" s="1"/>
  <c r="E91" i="15"/>
  <c r="E90" i="15"/>
  <c r="E89" i="15"/>
  <c r="E88" i="15"/>
  <c r="E87" i="15"/>
  <c r="E86" i="15"/>
  <c r="E85" i="15"/>
  <c r="E84" i="15"/>
  <c r="E83" i="15"/>
  <c r="E82" i="15"/>
  <c r="E81" i="15"/>
  <c r="E80" i="15"/>
  <c r="E79" i="15"/>
  <c r="E78" i="15"/>
  <c r="E77" i="15"/>
  <c r="E76" i="15"/>
  <c r="E75" i="15"/>
  <c r="E74" i="15"/>
  <c r="E73" i="15"/>
  <c r="N72" i="15"/>
  <c r="E72" i="15" s="1"/>
  <c r="N71" i="15"/>
  <c r="D71" i="15"/>
  <c r="D100" i="15" s="1"/>
  <c r="C71" i="15"/>
  <c r="C100" i="15" s="1"/>
  <c r="E70" i="15"/>
  <c r="E67" i="15"/>
  <c r="E66" i="15"/>
  <c r="E65" i="15"/>
  <c r="E64" i="15"/>
  <c r="E63" i="15"/>
  <c r="E62" i="15"/>
  <c r="E61" i="15"/>
  <c r="E60" i="15"/>
  <c r="E59" i="15"/>
  <c r="E58" i="15"/>
  <c r="E57" i="15"/>
  <c r="E56" i="15"/>
  <c r="E55" i="15"/>
  <c r="E54" i="15"/>
  <c r="E50" i="15"/>
  <c r="E49" i="15"/>
  <c r="E48" i="15"/>
  <c r="E47" i="15"/>
  <c r="E46" i="15"/>
  <c r="E45" i="15"/>
  <c r="P44" i="15"/>
  <c r="O44" i="15"/>
  <c r="N44" i="15"/>
  <c r="M44" i="15"/>
  <c r="L44" i="15"/>
  <c r="I44" i="15"/>
  <c r="D44" i="15"/>
  <c r="E40" i="15"/>
  <c r="E39" i="15"/>
  <c r="E38" i="15"/>
  <c r="E37" i="15"/>
  <c r="E36" i="15"/>
  <c r="E35" i="15"/>
  <c r="E34" i="15"/>
  <c r="E33" i="15"/>
  <c r="E32" i="15"/>
  <c r="E31" i="15"/>
  <c r="E30" i="15"/>
  <c r="E29" i="15"/>
  <c r="P28" i="15"/>
  <c r="O28" i="15"/>
  <c r="N28" i="15"/>
  <c r="M28" i="15"/>
  <c r="L28" i="15"/>
  <c r="I28" i="15"/>
  <c r="D28" i="15"/>
  <c r="E27" i="15"/>
  <c r="E26" i="15"/>
  <c r="E25" i="15"/>
  <c r="E24" i="15"/>
  <c r="O23" i="15"/>
  <c r="E23" i="15" s="1"/>
  <c r="E22" i="15"/>
  <c r="E21" i="15"/>
  <c r="E20" i="15"/>
  <c r="P19" i="15"/>
  <c r="N19" i="15"/>
  <c r="M19" i="15"/>
  <c r="L19" i="15"/>
  <c r="I19" i="15"/>
  <c r="D19" i="15"/>
  <c r="E16" i="15"/>
  <c r="E15" i="15" s="1"/>
  <c r="P15" i="15"/>
  <c r="O15" i="15"/>
  <c r="N15" i="15"/>
  <c r="M15" i="15"/>
  <c r="L15" i="15"/>
  <c r="I15" i="15"/>
  <c r="D15" i="15"/>
  <c r="E14" i="15"/>
  <c r="E13" i="15"/>
  <c r="P12" i="15"/>
  <c r="O12" i="15"/>
  <c r="N12" i="15"/>
  <c r="M12" i="15"/>
  <c r="L12" i="15"/>
  <c r="I12" i="15"/>
  <c r="D12" i="15"/>
  <c r="E11" i="15"/>
  <c r="E10" i="15" s="1"/>
  <c r="P10" i="15"/>
  <c r="O10" i="15"/>
  <c r="N10" i="15"/>
  <c r="M10" i="15"/>
  <c r="L10" i="15"/>
  <c r="I10" i="15"/>
  <c r="D10" i="15"/>
  <c r="E9" i="15"/>
  <c r="E8" i="15"/>
  <c r="P7" i="15"/>
  <c r="O7" i="15"/>
  <c r="N7" i="15"/>
  <c r="M7" i="15"/>
  <c r="L7" i="15"/>
  <c r="I7" i="15"/>
  <c r="N100" i="15" l="1"/>
  <c r="N98" i="15" s="1"/>
  <c r="N101" i="15" s="1"/>
  <c r="P98" i="15"/>
  <c r="E12" i="15"/>
  <c r="O19" i="15"/>
  <c r="O51" i="15" s="1"/>
  <c r="E19" i="15"/>
  <c r="E28" i="15"/>
  <c r="E97" i="15"/>
  <c r="E96" i="15"/>
  <c r="P101" i="15"/>
  <c r="M98" i="15"/>
  <c r="E108" i="15"/>
  <c r="E95" i="15"/>
  <c r="N17" i="15"/>
  <c r="E7" i="15"/>
  <c r="I17" i="15"/>
  <c r="M17" i="15"/>
  <c r="O17" i="15"/>
  <c r="L51" i="15"/>
  <c r="N51" i="15"/>
  <c r="N52" i="15" s="1"/>
  <c r="P51" i="15"/>
  <c r="I51" i="15"/>
  <c r="I52" i="15" s="1"/>
  <c r="I109" i="15" s="1"/>
  <c r="E44" i="15"/>
  <c r="E92" i="15"/>
  <c r="E99" i="15" s="1"/>
  <c r="L17" i="15"/>
  <c r="L52" i="15" s="1"/>
  <c r="L109" i="15" s="1"/>
  <c r="P17" i="15"/>
  <c r="L101" i="15"/>
  <c r="M101" i="15"/>
  <c r="M51" i="15"/>
  <c r="E71" i="15"/>
  <c r="E100" i="15" s="1"/>
  <c r="H33" i="9"/>
  <c r="H32" i="9"/>
  <c r="H31" i="9"/>
  <c r="H30" i="9"/>
  <c r="H29" i="9"/>
  <c r="H28" i="9"/>
  <c r="H27" i="9"/>
  <c r="H26" i="9"/>
  <c r="H25" i="9"/>
  <c r="H24" i="9"/>
  <c r="H23" i="9"/>
  <c r="M52" i="15" l="1"/>
  <c r="M109" i="15" s="1"/>
  <c r="P52" i="15"/>
  <c r="P109" i="15" s="1"/>
  <c r="N109" i="15"/>
  <c r="E17" i="15"/>
  <c r="E51" i="15"/>
  <c r="E52" i="15" s="1"/>
  <c r="O52" i="15"/>
  <c r="O109" i="15" s="1"/>
  <c r="E98" i="15"/>
  <c r="E101" i="15" s="1"/>
  <c r="G84" i="5"/>
  <c r="F83" i="5"/>
  <c r="G83" i="5" s="1"/>
  <c r="E109" i="15" l="1"/>
  <c r="G63" i="5"/>
  <c r="H63" i="5" s="1"/>
  <c r="F62" i="5"/>
  <c r="G62" i="5" s="1"/>
  <c r="H62" i="5" s="1"/>
  <c r="I62" i="5" s="1"/>
  <c r="J62" i="5" s="1"/>
  <c r="F64" i="5"/>
  <c r="H57" i="5"/>
  <c r="I57" i="5" s="1"/>
  <c r="J57" i="5" s="1"/>
  <c r="G55" i="5" l="1"/>
  <c r="F58" i="5"/>
  <c r="F57" i="5"/>
  <c r="J33" i="5"/>
  <c r="F34" i="5"/>
  <c r="J26" i="5" l="1"/>
  <c r="I26" i="5"/>
  <c r="I25" i="5"/>
  <c r="F28" i="5"/>
  <c r="D27" i="5" l="1"/>
  <c r="F27" i="5" s="1"/>
  <c r="F26" i="5" l="1"/>
  <c r="G26" i="5" s="1"/>
  <c r="H26" i="5" s="1"/>
  <c r="G27" i="5"/>
  <c r="H27" i="5" s="1"/>
  <c r="F20" i="5"/>
  <c r="G15" i="5"/>
  <c r="H15" i="5"/>
  <c r="I15" i="5"/>
  <c r="J15" i="5"/>
  <c r="F16" i="5"/>
  <c r="D14" i="5"/>
  <c r="F14" i="5" s="1"/>
  <c r="F15" i="5" l="1"/>
  <c r="J101" i="5"/>
  <c r="I101" i="5"/>
  <c r="G101" i="5"/>
  <c r="H101" i="5"/>
  <c r="F102" i="5"/>
  <c r="F101" i="5" s="1"/>
  <c r="E82" i="5"/>
  <c r="D83" i="5"/>
  <c r="D56" i="5" l="1"/>
  <c r="F56" i="5" s="1"/>
  <c r="G56" i="5" s="1"/>
  <c r="H56" i="5" s="1"/>
  <c r="I56" i="5" s="1"/>
  <c r="J56" i="5" s="1"/>
  <c r="D32" i="5"/>
  <c r="F32" i="5" s="1"/>
  <c r="G32" i="5" s="1"/>
  <c r="H32" i="5" s="1"/>
  <c r="I32" i="5" s="1"/>
  <c r="J32" i="5" s="1"/>
  <c r="E31" i="5"/>
  <c r="E19" i="5"/>
  <c r="D26" i="5"/>
  <c r="D20" i="5"/>
  <c r="H6" i="9" l="1"/>
  <c r="H7" i="9"/>
  <c r="H8" i="9"/>
  <c r="H9" i="9"/>
  <c r="H10" i="9"/>
  <c r="H11" i="9"/>
  <c r="H12" i="9"/>
  <c r="H13" i="9"/>
  <c r="H14" i="9"/>
  <c r="H15" i="9"/>
  <c r="H5" i="9"/>
  <c r="O97" i="14"/>
  <c r="M97" i="14"/>
  <c r="E84" i="14" l="1"/>
  <c r="E26" i="14" l="1"/>
  <c r="E24" i="14"/>
  <c r="E23" i="14"/>
  <c r="E22" i="14"/>
  <c r="E17" i="14"/>
  <c r="P52" i="14" l="1"/>
  <c r="M50" i="14" l="1"/>
  <c r="P15" i="14"/>
  <c r="E15" i="14" s="1"/>
  <c r="L96" i="14" l="1"/>
  <c r="I98" i="14" l="1"/>
  <c r="E97" i="14"/>
  <c r="P81" i="14"/>
  <c r="Q109" i="14"/>
  <c r="E96" i="14"/>
  <c r="E95" i="14"/>
  <c r="P94" i="14"/>
  <c r="O94" i="14"/>
  <c r="N94" i="14"/>
  <c r="M94" i="14"/>
  <c r="E92" i="14"/>
  <c r="E91" i="14"/>
  <c r="E90" i="14"/>
  <c r="E89" i="14"/>
  <c r="M88" i="14"/>
  <c r="E88" i="14" s="1"/>
  <c r="E87" i="14"/>
  <c r="P86" i="14"/>
  <c r="O86" i="14"/>
  <c r="N86" i="14"/>
  <c r="E85" i="14"/>
  <c r="N81" i="14"/>
  <c r="L81" i="14"/>
  <c r="P80" i="14"/>
  <c r="O80" i="14"/>
  <c r="N80" i="14"/>
  <c r="I80" i="14"/>
  <c r="D80" i="14"/>
  <c r="C80" i="14"/>
  <c r="N79" i="14"/>
  <c r="P78" i="14"/>
  <c r="O78" i="14"/>
  <c r="N78" i="14"/>
  <c r="M78" i="14"/>
  <c r="L78" i="14"/>
  <c r="I78" i="14"/>
  <c r="D78" i="14"/>
  <c r="C78" i="14"/>
  <c r="P77" i="14"/>
  <c r="O77" i="14"/>
  <c r="N77" i="14"/>
  <c r="L77" i="14"/>
  <c r="D77" i="14"/>
  <c r="C77" i="14"/>
  <c r="P76" i="14"/>
  <c r="O76" i="14"/>
  <c r="N76" i="14"/>
  <c r="E74" i="14"/>
  <c r="E73" i="14"/>
  <c r="E72" i="14"/>
  <c r="E71" i="14"/>
  <c r="O70" i="14"/>
  <c r="O81" i="14" s="1"/>
  <c r="E69" i="14"/>
  <c r="E68" i="14"/>
  <c r="E67" i="14"/>
  <c r="E66" i="14"/>
  <c r="E65" i="14"/>
  <c r="M64" i="14"/>
  <c r="I64" i="14"/>
  <c r="E62" i="14"/>
  <c r="E61" i="14"/>
  <c r="E60" i="14"/>
  <c r="E59" i="14"/>
  <c r="E58" i="14"/>
  <c r="E57" i="14"/>
  <c r="M56" i="14"/>
  <c r="D56" i="14"/>
  <c r="D81" i="14" s="1"/>
  <c r="C56" i="14"/>
  <c r="C81" i="14" s="1"/>
  <c r="E54" i="14"/>
  <c r="E53" i="14"/>
  <c r="E51" i="14"/>
  <c r="M80" i="14"/>
  <c r="E50" i="14"/>
  <c r="E47" i="14"/>
  <c r="E46" i="14"/>
  <c r="E45" i="14"/>
  <c r="E44" i="14"/>
  <c r="E43" i="14"/>
  <c r="E42" i="14"/>
  <c r="E41" i="14"/>
  <c r="M77" i="14"/>
  <c r="M76" i="14" s="1"/>
  <c r="I77" i="14"/>
  <c r="E39" i="14"/>
  <c r="E38" i="14"/>
  <c r="E37" i="14"/>
  <c r="E36" i="14"/>
  <c r="N27" i="14"/>
  <c r="E27" i="14" s="1"/>
  <c r="E25" i="14"/>
  <c r="P21" i="14"/>
  <c r="O21" i="14"/>
  <c r="M21" i="14"/>
  <c r="L21" i="14"/>
  <c r="I21" i="14"/>
  <c r="D21" i="14"/>
  <c r="P19" i="14"/>
  <c r="P14" i="14" s="1"/>
  <c r="P13" i="14" s="1"/>
  <c r="O19" i="14"/>
  <c r="E19" i="14" s="1"/>
  <c r="E14" i="14" s="1"/>
  <c r="O14" i="14"/>
  <c r="N14" i="14"/>
  <c r="M14" i="14"/>
  <c r="L14" i="14"/>
  <c r="I14" i="14"/>
  <c r="D14" i="14"/>
  <c r="M13" i="14"/>
  <c r="E10" i="14"/>
  <c r="E6" i="14" s="1"/>
  <c r="P10" i="14"/>
  <c r="O10" i="14"/>
  <c r="O6" i="14" s="1"/>
  <c r="N10" i="14"/>
  <c r="N6" i="14" s="1"/>
  <c r="M10" i="14"/>
  <c r="M6" i="14" s="1"/>
  <c r="L10" i="14"/>
  <c r="L6" i="14" s="1"/>
  <c r="I10" i="14"/>
  <c r="I6" i="14" s="1"/>
  <c r="P6" i="14"/>
  <c r="E64" i="14" l="1"/>
  <c r="L76" i="14"/>
  <c r="E93" i="14"/>
  <c r="L86" i="14"/>
  <c r="O13" i="14"/>
  <c r="I76" i="14"/>
  <c r="E21" i="14"/>
  <c r="I13" i="14"/>
  <c r="N21" i="14"/>
  <c r="N13" i="14" s="1"/>
  <c r="O79" i="14"/>
  <c r="E13" i="14"/>
  <c r="E78" i="14"/>
  <c r="E40" i="14"/>
  <c r="E77" i="14" s="1"/>
  <c r="L80" i="14"/>
  <c r="L79" i="14" s="1"/>
  <c r="E63" i="14"/>
  <c r="E70" i="14"/>
  <c r="L13" i="14"/>
  <c r="I81" i="14"/>
  <c r="I79" i="14" s="1"/>
  <c r="I82" i="14" s="1"/>
  <c r="I99" i="14" s="1"/>
  <c r="M81" i="14"/>
  <c r="M79" i="14" s="1"/>
  <c r="M82" i="14" s="1"/>
  <c r="P79" i="14"/>
  <c r="P82" i="14" s="1"/>
  <c r="N82" i="14"/>
  <c r="M86" i="14"/>
  <c r="M98" i="14" s="1"/>
  <c r="L94" i="14"/>
  <c r="E52" i="14"/>
  <c r="E55" i="14"/>
  <c r="E80" i="14" s="1"/>
  <c r="E56" i="14"/>
  <c r="N98" i="14"/>
  <c r="P98" i="14"/>
  <c r="O98" i="14"/>
  <c r="L82" i="14"/>
  <c r="O82" i="14"/>
  <c r="L98" i="14" l="1"/>
  <c r="L99" i="14" s="1"/>
  <c r="M99" i="14"/>
  <c r="N99" i="14"/>
  <c r="E76" i="14"/>
  <c r="Q13" i="14"/>
  <c r="P99" i="14"/>
  <c r="E86" i="14"/>
  <c r="E94" i="14"/>
  <c r="O99" i="14"/>
  <c r="E81" i="14"/>
  <c r="E79" i="14" s="1"/>
  <c r="E82" i="14" s="1"/>
  <c r="E98" i="14" l="1"/>
  <c r="E99" i="14" s="1"/>
  <c r="G33" i="5" l="1"/>
  <c r="E25" i="5"/>
  <c r="I63" i="5" l="1"/>
  <c r="J63" i="5" s="1"/>
  <c r="E31" i="6" l="1"/>
  <c r="H84" i="5"/>
  <c r="H83" i="5" s="1"/>
  <c r="I83" i="5" s="1"/>
  <c r="J83" i="5" s="1"/>
  <c r="I84" i="5" l="1"/>
  <c r="J84" i="5" s="1"/>
</calcChain>
</file>

<file path=xl/sharedStrings.xml><?xml version="1.0" encoding="utf-8"?>
<sst xmlns="http://schemas.openxmlformats.org/spreadsheetml/2006/main" count="1536" uniqueCount="662">
  <si>
    <t>№ з/п</t>
  </si>
  <si>
    <t>Найменування заходів</t>
  </si>
  <si>
    <t>шт./км*</t>
  </si>
  <si>
    <t>Усього</t>
  </si>
  <si>
    <t>Наявність проектної документації на початок прогнозного періоду (так/ні)</t>
  </si>
  <si>
    <t>Стан виконання ПВР РАБ</t>
  </si>
  <si>
    <t>Кошторисна/оціночна вартість ПВР тис. грн (без ПДВ)</t>
  </si>
  <si>
    <t>Стан виконання БМР  РАБ</t>
  </si>
  <si>
    <t>Створюваний резерв потужності/ пропускної здатності, мВт</t>
  </si>
  <si>
    <t>Джерело фінансування</t>
  </si>
  <si>
    <t>Критерії (відповідно до підпунтку 3.2.6 глави 3.2 КСР)</t>
  </si>
  <si>
    <t>Обгрунтування включення до ПРСР (СПР, технічний стан, ПРСП, вимога ОСП тощо), вказати назву документа та сторінку</t>
  </si>
  <si>
    <t>Стислий опис робіт</t>
  </si>
  <si>
    <t>№ сторінки пояснювальної записки</t>
  </si>
  <si>
    <t>Примітка</t>
  </si>
  <si>
    <t>кількість*</t>
  </si>
  <si>
    <t>Кошторисна/оціночна вартість БМР тис. грн (без ПДВ)</t>
  </si>
  <si>
    <t>початок (квартал, рік)</t>
  </si>
  <si>
    <t>закінчення (квартал, рік)</t>
  </si>
  <si>
    <t>обсяг фінансування, тис. грн (без ПДВ)</t>
  </si>
  <si>
    <t>2020 р.</t>
  </si>
  <si>
    <t>2021 р.</t>
  </si>
  <si>
    <t>2022 р.</t>
  </si>
  <si>
    <t>2023 р.</t>
  </si>
  <si>
    <t>2024 р.</t>
  </si>
  <si>
    <t>Нове будівництво об'єктів системи розподілу</t>
  </si>
  <si>
    <t>1.1.</t>
  </si>
  <si>
    <t>Підстанції рівня напруги 110 (154, 220) кВ, усього</t>
  </si>
  <si>
    <t>1.2.</t>
  </si>
  <si>
    <t>Підстанції рівня напруги 35 (27,5; 20) кВ, усього</t>
  </si>
  <si>
    <t>1.3.</t>
  </si>
  <si>
    <t>Лінії електропередачі рівня напруги 110 (154, 220) кВ, усього</t>
  </si>
  <si>
    <t>1.4.</t>
  </si>
  <si>
    <t>Лінії електропередачі рівня напруги 35 (27,5; 20) кВ, усього</t>
  </si>
  <si>
    <t>так</t>
  </si>
  <si>
    <t>СПР ст.30, 147</t>
  </si>
  <si>
    <t>Усього (сума по п.1.1-1.4)</t>
  </si>
  <si>
    <t>2.</t>
  </si>
  <si>
    <t>Реконструкція, технічне переоснащення об'єктів системи розподілу</t>
  </si>
  <si>
    <t>2.1.</t>
  </si>
  <si>
    <t>2.1.1.</t>
  </si>
  <si>
    <t>Реконструкція ПС-154/10/6 кВ «ПЛМ»</t>
  </si>
  <si>
    <t>Амортизаційні відрахування</t>
  </si>
  <si>
    <t>1, 2, 3, 6</t>
  </si>
  <si>
    <t>Реконструкція ВРУ-150 кВ:
- Заміна масляних вимикачів ВМТ-220 -150 кВ на елегазові вимикачі.
- Заміна трансформаторів струму ТФЗМ-150 кВ на маломасляні ТС.
- Заміна роз’єднувачів  типу РНДЗ-2-150\1000 У1 на нові.
- Встановлення маломасляних трансформаторів напруги.
- Заміна вентильних розрядників  РВМГ-150 на ОПН-150 кВ.
На стороні 10-6 кВ:
- Заміна у ввідних комірках трансформаторів струму ТВЛМ-10 на трансформатори струму ТЛШ-10 3000\5А .
- Заміна вентильних розрядників 10 кВ на обмежувачі перенапруги типу ОПН.
- Встановлення комплекту релейного захисту на мікропроцесорній базі.</t>
  </si>
  <si>
    <t>Технічне переоснащення ПС «Наклоноствольна 150/6 кВ» 1 етап</t>
  </si>
  <si>
    <t>1, 2, 3</t>
  </si>
  <si>
    <t>Проектом передбачено:
- Заміна відокремлювачів та короткозамикачів 150 кВ на елегазові вимикачі.
- Встановлення додатково нових роз’єднувачів 150 кВ типу РГ-1б-150/1000 УХЛ1.
- Заміна вентильних розрядників типу РВМГ-150М на обмежувачі перенапруги.
- Встановлення  маломасляних трансформаторів струму 150 кВ.
- Заміна трансформаторів струму 6 кВ 4000/5А на нові типу ТЛШ-10, 4000/5А.
- Заміна РЗА силових трансформаторів 1Т, 2Т на мікропроцесорні блоки захисту.
- Заміна опорної та підвісної ізоляції на нову полімерну.
- Заміна проводів та спусків ВРУ-150 кВ.
- Ремонт порталів ВРУ-150 кВ.
- Реконструкція зовнішнього освітлення ВРУ-150 кВ.
- Встановлення нового щита постійного струму типу ЩПТ-220-250УХЛ1 з герметичною гелевою АКБ типу А704/280 виробництва Sonnenshein.</t>
  </si>
  <si>
    <t>Технічне переоснащення ПС 150/35/6 кВ «ДШЗ-1»</t>
  </si>
  <si>
    <t>інші (прибуток)</t>
  </si>
  <si>
    <t xml:space="preserve">Повна заміна обладнання ВРУ-150/35 кВ та силових трансформаторів. Заміна від’єднувача 150 кВ на елегазовий вимикач.   Заміна РЗА силових трансформаторів 1Т, 2Т на мікропроцесорні блоки захисту. </t>
  </si>
  <si>
    <t>2.2.</t>
  </si>
  <si>
    <t>2.2.1.</t>
  </si>
  <si>
    <t>1, 2, 5, 9</t>
  </si>
  <si>
    <t>Проектом передбачено:
- Заміна силового трансформатора 1Т.
- Заміна вторинних ланцюгів трансформаторів з прокладкою у бетонних кабельних лотках.
- Будівництво нового оливоприймача, фундамента під силовий трансформатор.</t>
  </si>
  <si>
    <t>2.2.3.</t>
  </si>
  <si>
    <t>Технічне переоснащення ПС-35/6 кВ «Чешка»</t>
  </si>
  <si>
    <t>ні</t>
  </si>
  <si>
    <t>1, 2, 3, 8, 10</t>
  </si>
  <si>
    <t>Заміна силового трансформатору 1Т, заміна маслозбірників 1Т.
Повна заміна обладнання 1 секції ВРУ-35 кВ та ЗРУ-6 кВ, ремонт будівлі ЗРУ-6 кВ, організація обліку по стороні 35 кВ, телемеханіка та телеуправлінн.</t>
  </si>
  <si>
    <t>2.2.6.</t>
  </si>
  <si>
    <t>Технічне переоснащення ПС-35/10 кВ «Луч»</t>
  </si>
  <si>
    <t>1, 2, 4, 8, 9</t>
  </si>
  <si>
    <t xml:space="preserve">Проектом передбачається:
- заміна обладнання 35 кВ;                                                                                                   - заміна кабельно-провідникової продукції під нове обладнання;
- охоронна та пожежна сигналізація;
- заміна мережі зовнішнього освітлення. </t>
  </si>
  <si>
    <t>2.2.11.</t>
  </si>
  <si>
    <t>Технічне переоснащення ПС-35/6 кВ «Молзавод»</t>
  </si>
  <si>
    <t>1, 2, 3, 5, 8, 9</t>
  </si>
  <si>
    <t>2.2.12.</t>
  </si>
  <si>
    <t>Технічне переоснащення ПС-35/6 кВ №14</t>
  </si>
  <si>
    <t>1, 2, 8, 9</t>
  </si>
  <si>
    <t xml:space="preserve">Проектом передбачається:
- організація обліку по стороні 35 кВ; 
- телемеханіка, телеуправління.
- заміна обладнання ВРУ-35 з встановленням ВкВ; встановлення нових ТС та ТН 35 кВ, монтаж нових роз’єднувачів, заміна ошинування ВРУ-35 кВ;
- ретрофіт в існуючих комірок ЗРУ-6 кВ (виконати заміну існуючих МВ на ВкВ ;
- монтаж нових ТН, ТВП, ТВП підключити на секцію; 
- виконати перевірку захищеності обладнання ПС  від прямих ударів блискавки, при необхідності встановити додаткові блискавковідводи;
- встановити ШОТ,  захист приєднань 6 кВ виконати на базі мікропроцесорних блоків захисту, замінити панель управління МВ 35 кВ;
- заміна силових трансформаторів;                                                                                           - виконати заміну всієї кабельно-провідникової продукції замінених комірок;
- виконати опалення та кондиціювання приміщень;
- виконати охоронну та пожежну сигналізацію;
- заміна мережі ланцюгів зовнішнього освітлення.   </t>
  </si>
  <si>
    <t>Технічне переоснащення ПС-35/10 «НМФ»</t>
  </si>
  <si>
    <t>2.3.</t>
  </si>
  <si>
    <t>2.3.1.</t>
  </si>
  <si>
    <t>2.3.2.</t>
  </si>
  <si>
    <t>…</t>
  </si>
  <si>
    <t>2.4.</t>
  </si>
  <si>
    <t>Усього (сума по п. 2.1-2.4)</t>
  </si>
  <si>
    <t>Усього (сума по п. 1 та 2)</t>
  </si>
  <si>
    <t>3.</t>
  </si>
  <si>
    <t>Нове будівництво об'єктів системи розподілу рівня напруги 10 (6); 0,4 кВ</t>
  </si>
  <si>
    <t>3.1.</t>
  </si>
  <si>
    <t>Вільногірські РЕМ, усього</t>
  </si>
  <si>
    <t>Амортизаційні відрахування, інші (прибуток), за перетоки реактивної е/е</t>
  </si>
  <si>
    <t>Технічний стан, КСР ст.12, акти дефектів</t>
  </si>
  <si>
    <t>ст.98, 114</t>
  </si>
  <si>
    <t>3.1.1.</t>
  </si>
  <si>
    <t>Будівництво ПЛ-6 кВ</t>
  </si>
  <si>
    <t>Будівництво ПЛ-6 кВ на з/б опорах в смт. Дніпровське</t>
  </si>
  <si>
    <t>3.1.2.</t>
  </si>
  <si>
    <t>Будівництво КЛ-0,4 кВ</t>
  </si>
  <si>
    <t>Будівництво КЛ-0,4 кВ до житлового будинку в смт. Дніпровське</t>
  </si>
  <si>
    <t>3.2.</t>
  </si>
  <si>
    <t>Павлоградські РЕМ, усього</t>
  </si>
  <si>
    <t>3.2.1.</t>
  </si>
  <si>
    <t>Будівництво розвантажувального ТП-6/0,4 кВ</t>
  </si>
  <si>
    <t>Будівництво розвантажувального КТП-6/0,4 кВ  для переведення навантаження ПЛ-0,4 кВ до ж/б в м. Павлоград.</t>
  </si>
  <si>
    <t>3.3.</t>
  </si>
  <si>
    <t>Дніпроперовські РЕМ , усього</t>
  </si>
  <si>
    <t>3.3.1.</t>
  </si>
  <si>
    <t>Будівництво двотрансформаторної КТП-6/2х250 кВА з АВР для переведенням навантаження ТП-9к в м. Дніпро</t>
  </si>
  <si>
    <t>3.3.2.</t>
  </si>
  <si>
    <t>Будівництво КЛ 6 кВ</t>
  </si>
  <si>
    <t>Будівництво КЛ -6 кВ в м. Дніпро</t>
  </si>
  <si>
    <t>3.4.</t>
  </si>
  <si>
    <t>Жовтоводські РЕМ , усього</t>
  </si>
  <si>
    <t>3.4.1.</t>
  </si>
  <si>
    <t>Будівництво розвантажувального КТП 6/0,4 кВ для переведення навантаження ПЛ-0,4 кВ в м. Жовті Води</t>
  </si>
  <si>
    <t>3.5.</t>
  </si>
  <si>
    <t>Криворізькі РЕМ , усього</t>
  </si>
  <si>
    <t>3.5.1.</t>
  </si>
  <si>
    <t xml:space="preserve"> Будівництво розвантажувального КТП-6/0,4 кВ з заміною проводу АС на СІП існуючих ПЛ-0,4 кВ в м. Кривий Ріг. </t>
  </si>
  <si>
    <t>4.</t>
  </si>
  <si>
    <t>Реконструкція, технічне переоснащення об'єктів системи розподілу рівня напруги 10 (6); 0,4 кВ</t>
  </si>
  <si>
    <t>4.1.</t>
  </si>
  <si>
    <t>4.1.1.</t>
  </si>
  <si>
    <t>Технічне переоснащення  ТП, РП 6/0,4 кВ</t>
  </si>
  <si>
    <t>КСР ст.12</t>
  </si>
  <si>
    <t>Заміна панелей в РУ-0,4 кВ на  ЩО 90 та комірок КСОв РУ-6 кВ</t>
  </si>
  <si>
    <t>4.1.2.</t>
  </si>
  <si>
    <t>Реконструкція ПЛ-0,4 кВ</t>
  </si>
  <si>
    <t>Реконструкція ПЛ з заміною проводу на СІП</t>
  </si>
  <si>
    <t>4.1.3.</t>
  </si>
  <si>
    <t>Реконструкція КЛ-6 кВ</t>
  </si>
  <si>
    <t>Реконструкція КЛ 6 кВ в смт. Дніпровське</t>
  </si>
  <si>
    <t>4.1.4.</t>
  </si>
  <si>
    <t>Реконструкція КЛ 0,4 кВ</t>
  </si>
  <si>
    <t>Реконструкція КЛ 0,4 кВ від ТП до житлових будинків</t>
  </si>
  <si>
    <t>4.2.</t>
  </si>
  <si>
    <t>4.2.1.</t>
  </si>
  <si>
    <t>Технічне переоснащення  ТП, РП 10(6)/0,4 кВ</t>
  </si>
  <si>
    <t>Заміна обладнання ТП</t>
  </si>
  <si>
    <t>4.2.2.</t>
  </si>
  <si>
    <t>4.2.3.</t>
  </si>
  <si>
    <t>Реконструкція ПЛ 6 кВ</t>
  </si>
  <si>
    <t xml:space="preserve">Реконструкція ПЛ-6 кВ  від КРУН-6 кВ ком.4 до ЗТП-1, ЗТП-2 з перепідключенням до ПС-35/6 кВ "Чешка" ЗРП-6 кВ ком. 12   смт. Радушне Криворізького району </t>
  </si>
  <si>
    <t>4.2.4.</t>
  </si>
  <si>
    <t>Реконструкція КЛ-10 кВ</t>
  </si>
  <si>
    <t>Реконструкція КЛ-10 кВ в м. Кривий Ріг</t>
  </si>
  <si>
    <t>4.3.</t>
  </si>
  <si>
    <t>4.3.1.</t>
  </si>
  <si>
    <t>4.3.2.</t>
  </si>
  <si>
    <t>Реконструкція ПЛ-10 кВ</t>
  </si>
  <si>
    <t>Реконструкція ПЛ-10 кВ Лм. Павлоград</t>
  </si>
  <si>
    <t>4.3.3.</t>
  </si>
  <si>
    <t>4.3.4.</t>
  </si>
  <si>
    <t>Реконструкція КЛ-10 кВ в смт. Гвардійське</t>
  </si>
  <si>
    <t>4.3.5.</t>
  </si>
  <si>
    <t>4.4.</t>
  </si>
  <si>
    <t>4.4.1.</t>
  </si>
  <si>
    <t>Заміна обладнання ТП, РП</t>
  </si>
  <si>
    <t>4.4.2.</t>
  </si>
  <si>
    <t>Реконструкція ПЛ-6 кВ з заміною опор в м. Жовті Води</t>
  </si>
  <si>
    <t>4.4.3.</t>
  </si>
  <si>
    <t>4.4.4.</t>
  </si>
  <si>
    <t>Реконструкція КЛ-6 кВ в м. Жовті Води</t>
  </si>
  <si>
    <t>4.4.5.</t>
  </si>
  <si>
    <t>4.5.</t>
  </si>
  <si>
    <t>4.5.1.</t>
  </si>
  <si>
    <t>Заміна обладнання ТП, панелей РУ-0,4 кВ на  ЩО 90 та комірок КСО</t>
  </si>
  <si>
    <t>4.5.2.</t>
  </si>
  <si>
    <t>Реконструкція КЛ 6 кВ в м. Дніпро</t>
  </si>
  <si>
    <t>Усього по п. 3:</t>
  </si>
  <si>
    <t>ТП (РП)</t>
  </si>
  <si>
    <t>ЛЕП</t>
  </si>
  <si>
    <t>Усього по п. 4:</t>
  </si>
  <si>
    <t>Усього по п. 3, 4</t>
  </si>
  <si>
    <t xml:space="preserve">Інші заходи, усього </t>
  </si>
  <si>
    <t>5.1</t>
  </si>
  <si>
    <t>Актуалізація "Схема перспективного розвитку ел.мереж ПрАТ "ПЕЕМ "ЦЕК" на 2020-2025 роки з перспективою до 2030 року"</t>
  </si>
  <si>
    <t>КСР</t>
  </si>
  <si>
    <t>5.2</t>
  </si>
  <si>
    <t xml:space="preserve">Розміщення пристроїв фіксації/аналізу показників якості електроенергії </t>
  </si>
  <si>
    <t>Амортизаційні відрахування, прибуток на виробничі інвестиції</t>
  </si>
  <si>
    <t>5.3</t>
  </si>
  <si>
    <t>Заходи зі зниження нетехнічних витрат електричної енергії</t>
  </si>
  <si>
    <t>Амортизаційні відрахування,</t>
  </si>
  <si>
    <t>5.3.1</t>
  </si>
  <si>
    <t xml:space="preserve">Улаштування однофазних вводів в будинки з застосуванням СІП та встановленням ФШО </t>
  </si>
  <si>
    <t>5.3.2</t>
  </si>
  <si>
    <t>Створення АСКОЕ побутових споживачів</t>
  </si>
  <si>
    <t>5.3.3</t>
  </si>
  <si>
    <t xml:space="preserve">Винос лічильників електроенергії у населення з квартир на сходові клітини </t>
  </si>
  <si>
    <t>5.3.4</t>
  </si>
  <si>
    <t>Закупівля обладнання під АСКОЕ</t>
  </si>
  <si>
    <t>5.3.5</t>
  </si>
  <si>
    <t>Прилади для облаштування рейдової бригади</t>
  </si>
  <si>
    <t>5.3.6</t>
  </si>
  <si>
    <t>Пристрій для перевірки автоматичних вимикачів</t>
  </si>
  <si>
    <t>5.4</t>
  </si>
  <si>
    <t>Заходи з удосконалення та розвитку IT-інфраструктури під сучасні потреби бізнесу, в т.ч. телемеханізація підстанцій</t>
  </si>
  <si>
    <t>5.4.1</t>
  </si>
  <si>
    <t>Впровадження та розвиток АСДТК</t>
  </si>
  <si>
    <t>5.4.2</t>
  </si>
  <si>
    <t>Впровадження та розвиток інформаційних технологій та розвиток систем зв'язку</t>
  </si>
  <si>
    <t>5.5</t>
  </si>
  <si>
    <t>Усього по п. 5:</t>
  </si>
  <si>
    <t>ВСЬОГО</t>
  </si>
  <si>
    <t>* Довжина ліній електропередачі вказується по трасі ліній.</t>
  </si>
  <si>
    <t>**  Зазначити відповідний рік.</t>
  </si>
  <si>
    <t>(підпис)</t>
  </si>
  <si>
    <t>(прізвище, ім'я, по батькові)</t>
  </si>
  <si>
    <t xml:space="preserve">(або особа, яка виконує його обов'язки)                                                                         </t>
  </si>
  <si>
    <t>М. П. (за наявності)</t>
  </si>
  <si>
    <t>"____" ____________ 20___ року</t>
  </si>
  <si>
    <t>технічний стан</t>
  </si>
  <si>
    <t>* Оцінку необхідності капітального ремонту або повної заміни ліній електропередачі (ЛЕП) проводити за пріоритетом реального технічного стану, а не з урахуванням періодичності капітального ремонту.</t>
  </si>
  <si>
    <t>вимагають заміни як такі, що не підлягають ремонту</t>
  </si>
  <si>
    <t>вимагають заміни з метою зниження ТВЕ</t>
  </si>
  <si>
    <t>у доброму стані</t>
  </si>
  <si>
    <t>шт.</t>
  </si>
  <si>
    <t>Силові трансформатори ПС вищою напругою 6 – 10 кВ, усього</t>
  </si>
  <si>
    <t>Силові трансформатори ПС вищою напругою 35 кВ, усього</t>
  </si>
  <si>
    <t>Силові трансформатори ПС вищою напругою 110 (150) кВ, усього</t>
  </si>
  <si>
    <t>вимагають заміни з метою зниження технологічних витрат електричної енергії (ТВЕ)</t>
  </si>
  <si>
    <t>Силові трансформатори ПС вищою напругою 220 кВ, усього</t>
  </si>
  <si>
    <t>виведено з експлуатації</t>
  </si>
  <si>
    <t>підлягає повній заміні</t>
  </si>
  <si>
    <t>підлягає капітальному ремонту</t>
  </si>
  <si>
    <t>підлягає реконструкції</t>
  </si>
  <si>
    <t>Трансформаторні підстанції (ТП), розподільні пункти (РП) 6 (10) кВ, усього</t>
  </si>
  <si>
    <t>ПС з вищим класом напруги
35 кВ, усього</t>
  </si>
  <si>
    <t>ПС з вищим класом напруги
110 (150) кВ, усього</t>
  </si>
  <si>
    <t>Підстанції (ПС) з вищим класом напруги 220 кВ, усього</t>
  </si>
  <si>
    <t>км</t>
  </si>
  <si>
    <t>КЛ-0,4 кВ, усього</t>
  </si>
  <si>
    <t>КЛ-6 (10) кВ, усього</t>
  </si>
  <si>
    <t>КЛ-35 кВ, усього</t>
  </si>
  <si>
    <t>КЛ-110 (150) кВ, усього</t>
  </si>
  <si>
    <t>Кабельні лінії (КЛ)-220 кВ, усього</t>
  </si>
  <si>
    <t>ПЛ-0,4 кВ, усього</t>
  </si>
  <si>
    <t>км
(по трасі)</t>
  </si>
  <si>
    <t>ПЛ-6 (10) кВ, усього</t>
  </si>
  <si>
    <t>ПЛ-35 кВ, усього</t>
  </si>
  <si>
    <t>ПЛ-110 (150) кВ, усього</t>
  </si>
  <si>
    <t>Повітряні лінії (ПЛ)-220 кВ, усього</t>
  </si>
  <si>
    <t xml:space="preserve">Прогнозний технічний стан  (з урахуванням обсягів запланованих робіт) на кінець </t>
  </si>
  <si>
    <t>Обсяги запланованих робіт на 2020 р.</t>
  </si>
  <si>
    <t>Прогнозний технічний стан на початок 01.01.2020 р.</t>
  </si>
  <si>
    <t>Од. Вим.</t>
  </si>
  <si>
    <t>Назва обладнання та
якісна оцінка*</t>
  </si>
  <si>
    <t>Продовження додатка 3</t>
  </si>
  <si>
    <t xml:space="preserve">    "____" ____________ 20___ року</t>
  </si>
  <si>
    <t>(або особа, яка виконує його обов'язки)</t>
  </si>
  <si>
    <t>_______________________________</t>
  </si>
  <si>
    <t>_________________</t>
  </si>
  <si>
    <t xml:space="preserve">Головний бухгалтер </t>
  </si>
  <si>
    <t>—</t>
  </si>
  <si>
    <t>технічне переоснащення</t>
  </si>
  <si>
    <t xml:space="preserve">"Технічне переоснащення трансформаторної підстанції 35/6 кВ  "НВ-ЦЗ" </t>
  </si>
  <si>
    <t>"Технічне переоснащення трансформаторної підстанції 35/6 кВ "Молзавод"</t>
  </si>
  <si>
    <t>"Технічне переоснащення трансформаторної підстанції 35/6 кВ "Палмаш"</t>
  </si>
  <si>
    <t xml:space="preserve">"Технічне переоснащення трансформаторної підстанції 35/6 кВ  "ЦЗ" </t>
  </si>
  <si>
    <t>"Технічне переоснащення трансформаторної підстанції 35/6 кВ  "Рахманово""</t>
  </si>
  <si>
    <t>"Технічне переоснащення трансформаторної підстанції 35/6 кВ  "Стрічка"</t>
  </si>
  <si>
    <t xml:space="preserve"> Технічне переоснащення трансфоматорної підстанції 154/35/6 кВ "КПО"</t>
  </si>
  <si>
    <t xml:space="preserve">"Технічне переоснащення транформаторної підстанції   «ДШЗ-1» </t>
  </si>
  <si>
    <t>реконструкція</t>
  </si>
  <si>
    <t>"Реконструкція електричних мереж ПрАТ "ПЕЕМ "ЦЕК" з реконфігурацією мережі зі зміною класу напруги 6 кВ на 20 кВ м.Вільногірськ.</t>
  </si>
  <si>
    <t>76274,17</t>
  </si>
  <si>
    <t>"Реконструкция ПС 150кВ "Красногвардейская"</t>
  </si>
  <si>
    <t>12749,08</t>
  </si>
  <si>
    <t xml:space="preserve"> "Техническое переоснащение ПС Наклонноствольная"</t>
  </si>
  <si>
    <t>4565,21</t>
  </si>
  <si>
    <t>"Техническое переоснащение ПС "Північна-35"</t>
  </si>
  <si>
    <t>37647,23</t>
  </si>
  <si>
    <t>"Реконструкция ПС 35/6 кВ "С-35"</t>
  </si>
  <si>
    <t>33094,21</t>
  </si>
  <si>
    <t xml:space="preserve"> "Технічне переоснащення  ПС 150/10/6 кВ "ПЛМ "</t>
  </si>
  <si>
    <t>17813,47</t>
  </si>
  <si>
    <t>9909,64</t>
  </si>
  <si>
    <t>"Реконструкція ПЛ 6кВ Л-5-29 від ком.14 ПС 35/6кВ №5 до ком.10 ПС 35/6кВ №29(з відгал)</t>
  </si>
  <si>
    <t>за перетоки реактивної енергії</t>
  </si>
  <si>
    <t>Реконструкція КЛ-10 кВ від ПС "Гвардейская" ком.102 до ЗТП-187 ком.19 смт. Гвардійське Новомосковського р-ну, Дніпропетровської обл.</t>
  </si>
  <si>
    <t xml:space="preserve">"Реконструкція ПЛ-6 кВ  ПЛ-6 кВ  від КРУН-6 кВ ком.4 до ЗТП-1, ЗТП-2 з переключенням до ПС-35/6 кВ "Чешка" ЗРП-6 кВ ком. 12   смт. Радушне.(Кривий Ріг)  </t>
  </si>
  <si>
    <t xml:space="preserve"> "Реконструкція КЛ-10 кВ ПС-50 ком. 3 -- ТП-859 м. Кривий Ріг</t>
  </si>
  <si>
    <t>"Винос лічильників електроенергії у населення з квартир на сходову клітину м. Дніпро, вул. О. Поля,96».</t>
  </si>
  <si>
    <t>"Винос лічильників електроенергії у населення з квартир на сходову клітину м.Дніпро, вул. Д.Нечая, 5».</t>
  </si>
  <si>
    <t>"Винос лічильників електроенергії у населення з квартир на сходову клітину м. Павлоград, вул. Сташкова, 27».</t>
  </si>
  <si>
    <t xml:space="preserve"> "Винос лічильників електроенергії у населення з квартир на сходову клітину м. Павлоград, вул. Сташкова, 25».</t>
  </si>
  <si>
    <t>"Винос лічильників електроенергії у населення з квартир на сходову клітину м. Павлоград, вул. Достоєвського, 2/1».</t>
  </si>
  <si>
    <t>Пропозиції щодо подальшого використання (виконати, списати, продати тощо), зазначити роки</t>
  </si>
  <si>
    <t>Характер робіт (нове будівництво, реконструкція, технічне переоснащення)</t>
  </si>
  <si>
    <r>
      <t>Залишок кошторисної вартості на  початок прогнозного (</t>
    </r>
    <r>
      <rPr>
        <b/>
        <sz val="10"/>
        <rFont val="Times New Roman"/>
        <family val="1"/>
        <charset val="204"/>
      </rPr>
      <t>2020</t>
    </r>
    <r>
      <rPr>
        <sz val="10"/>
        <rFont val="Times New Roman"/>
        <family val="1"/>
        <charset val="204"/>
      </rPr>
      <t xml:space="preserve"> рік)періоду,
тис. грн (без ПДВ)</t>
    </r>
  </si>
  <si>
    <t>Затверджена кошторисна вартість,
тис. грн
(без ПДВ)</t>
  </si>
  <si>
    <t>Початок виконання БМР (рік, місяць)</t>
  </si>
  <si>
    <t>Початок виконання ПВР (рік, місяць)</t>
  </si>
  <si>
    <t>Найменування об'єктів</t>
  </si>
  <si>
    <t>Перелік об'єктів незавершеного будівництва,  реконструкції та технічного переоснащення системи розподілу станом на початок прогнозного періоду</t>
  </si>
  <si>
    <t>Дані щодо прогнозної потужності приєднання нових електроустановок (на основі заяв про приєднання та доступної потужності в точках забезпечення потужності)</t>
  </si>
  <si>
    <t>№ п/п</t>
  </si>
  <si>
    <t>Джерело живлення,                      ПС 20-150 кВ</t>
  </si>
  <si>
    <t>Встановлена потужність ПС, МВт</t>
  </si>
  <si>
    <t>Величина навантаження, МВт, зима/літо на 2020 р.</t>
  </si>
  <si>
    <t>Сумарна потужність замовлена до приєднання (чинні ТУ), МВт</t>
  </si>
  <si>
    <t>Реалізовані ТУ, МВт</t>
  </si>
  <si>
    <t>Заплановані заходи зі створення резерву потужності у ПРСР</t>
  </si>
  <si>
    <t>Примітка (сонячні установки, рік /   МВт)</t>
  </si>
  <si>
    <t>Всього</t>
  </si>
  <si>
    <t>у т. ч. оплачено/
проавансовано</t>
  </si>
  <si>
    <t>ПС-154/35/6 кВ «КПО»</t>
  </si>
  <si>
    <t>2х25</t>
  </si>
  <si>
    <t>ПС-154/10/6 кВ «ПЛМ»</t>
  </si>
  <si>
    <t>32+40</t>
  </si>
  <si>
    <t>12,4/9,3</t>
  </si>
  <si>
    <t>ПС-154/6/6 «Трубна»</t>
  </si>
  <si>
    <t>2х32</t>
  </si>
  <si>
    <t>7,9/2,7</t>
  </si>
  <si>
    <t>ПС-150/35/10 кВ «Силова»</t>
  </si>
  <si>
    <t>1х16</t>
  </si>
  <si>
    <t>6,7/4,4</t>
  </si>
  <si>
    <t>ПС-150/10/6 кВ «ПМЗ»</t>
  </si>
  <si>
    <t>ПС-150/6/6 кВ «ПЗТО»</t>
  </si>
  <si>
    <t>5,5/4,3</t>
  </si>
  <si>
    <t>ПС «Наклоноствольна 150/6 кВ»</t>
  </si>
  <si>
    <t>2х60</t>
  </si>
  <si>
    <t>14,6/10,5</t>
  </si>
  <si>
    <t>ПС 150/35/6 кВ «ДШЗ-1»</t>
  </si>
  <si>
    <t>13,1/9,2</t>
  </si>
  <si>
    <t>ПС-35/6 кВ № 3</t>
  </si>
  <si>
    <t>2х6,3</t>
  </si>
  <si>
    <t>2,1/1,9</t>
  </si>
  <si>
    <t>ПС-35/6 кВ «ЖКК»</t>
  </si>
  <si>
    <t>2х4</t>
  </si>
  <si>
    <t>1,3/1</t>
  </si>
  <si>
    <t>ПС-35/6 кВ «Стрічка»</t>
  </si>
  <si>
    <t>8/4,0</t>
  </si>
  <si>
    <t>ПС-35/10 кВ «НМФ»</t>
  </si>
  <si>
    <t>0,9/0,6</t>
  </si>
  <si>
    <t>ПС № 50 «Березняки»35/10/6 кВ</t>
  </si>
  <si>
    <t>2х10</t>
  </si>
  <si>
    <t>6,1/4,3</t>
  </si>
  <si>
    <t>ПС № 47 35/6 кВ «Західна»</t>
  </si>
  <si>
    <t>2,3/1,7</t>
  </si>
  <si>
    <t>ПС № 5 «Жилселище» 35/6 кВ</t>
  </si>
  <si>
    <t>5,1/3,5</t>
  </si>
  <si>
    <t>ПС-«Інгулецька» 35/6 кВ</t>
  </si>
  <si>
    <t>2х2,5</t>
  </si>
  <si>
    <t>0,8/0,6</t>
  </si>
  <si>
    <t>ПС «С-35»35/6 кВ</t>
  </si>
  <si>
    <t>1,6/0,9</t>
  </si>
  <si>
    <t>ПС- 29 35/6 кВ</t>
  </si>
  <si>
    <t>0,9/0,7</t>
  </si>
  <si>
    <t>ПС-5 35/6(20) кВ м. Жовті Води</t>
  </si>
  <si>
    <t>2х16</t>
  </si>
  <si>
    <t>17,6/12,0</t>
  </si>
  <si>
    <t>ПС-35/6 кВ «Чешка»</t>
  </si>
  <si>
    <t>1,6+2,5</t>
  </si>
  <si>
    <t>1,2/0,9</t>
  </si>
  <si>
    <t>ПС-35/10 кВ «Луч»</t>
  </si>
  <si>
    <t>ПС «Макорти» 35/6 кВ</t>
  </si>
  <si>
    <t>0,2/0,1</t>
  </si>
  <si>
    <t>ПС-35/6 кВ «Палмаш»</t>
  </si>
  <si>
    <t>0,7/0,9</t>
  </si>
  <si>
    <t>ПС 35/6 кВ «Рахманово»</t>
  </si>
  <si>
    <t>3,4/0,9</t>
  </si>
  <si>
    <t>ПС «НВ-ЦЗ» 35/6 кВ</t>
  </si>
  <si>
    <t>0,3/0,2</t>
  </si>
  <si>
    <t>ПС «САЗ» 35/10/6 кВ</t>
  </si>
  <si>
    <t>2,3/0,9</t>
  </si>
  <si>
    <t>ПС-35/6 кВ «Молзавод»</t>
  </si>
  <si>
    <t>2,5/1,9</t>
  </si>
  <si>
    <t>ПС-35/6 кВ №14</t>
  </si>
  <si>
    <t>2,5+3,2</t>
  </si>
  <si>
    <t>0,5/0,9</t>
  </si>
  <si>
    <t>ПС «ЦЗ" 35/6 кВ</t>
  </si>
  <si>
    <t>1,1/0,9</t>
  </si>
  <si>
    <t>ПС-35/10 кВ «Сельстрой»</t>
  </si>
  <si>
    <t>2,7/0,9</t>
  </si>
  <si>
    <t xml:space="preserve">Додаток 3
до Порядку розроблення та подання на затвердження планів розвитку систем розподілу та інвестиційних програм операторів систем розподілу
</t>
  </si>
  <si>
    <t xml:space="preserve">Затверджено: 
Генеральний директор - Голова Правління ПрАТ "ПЕЕМ "ЦЕК"                   
</t>
  </si>
  <si>
    <t>М.В. Корса</t>
  </si>
  <si>
    <t>(відповідний орган ліцензіата)</t>
  </si>
  <si>
    <t>План розвитку системи розподілу</t>
  </si>
  <si>
    <t>Найменування оператора      системи розподілу</t>
  </si>
  <si>
    <t>ПрАТ "ПЕЕМ "ЦЕК"</t>
  </si>
  <si>
    <t>П'ятирічний період</t>
  </si>
  <si>
    <t>з</t>
  </si>
  <si>
    <t>до</t>
  </si>
  <si>
    <t>Висновок ОСП
від ____________ №__________</t>
  </si>
  <si>
    <t>Висновок Міненерговугілля
від ____________ №__________</t>
  </si>
  <si>
    <t>Схвалено НКРЕКП, постанова
від ____________ №__________</t>
  </si>
  <si>
    <t>Власні кошти:</t>
  </si>
  <si>
    <t>1.1</t>
  </si>
  <si>
    <t>амортизаційні відрахування</t>
  </si>
  <si>
    <t>1.2</t>
  </si>
  <si>
    <t>прибуток на виробничі інвестиції</t>
  </si>
  <si>
    <t>1.3</t>
  </si>
  <si>
    <t>за перетоки реактивної е/е</t>
  </si>
  <si>
    <t>1.4</t>
  </si>
  <si>
    <t>1.5</t>
  </si>
  <si>
    <t>Залучені кошти:</t>
  </si>
  <si>
    <t>2.1</t>
  </si>
  <si>
    <t>кредити</t>
  </si>
  <si>
    <t>2.2</t>
  </si>
  <si>
    <t>фінансова допомога</t>
  </si>
  <si>
    <t>2.3</t>
  </si>
  <si>
    <t>(або особа, яка виконує його обов'язки)                       (підпис)</t>
  </si>
  <si>
    <t xml:space="preserve">               М. П. (за наявності)</t>
  </si>
  <si>
    <t xml:space="preserve">Технічний стан, СПР ст.24, 66,81,92 Акт технічного опосвідчення від 03.05.2019 р. </t>
  </si>
  <si>
    <t>Технічний стан, СПР ст.27, 94 Акт технічного опосвідчення від 02.04.2019 р.</t>
  </si>
  <si>
    <t>Технічний стан, СПР ст. 25, 81,92 Акт технічного опосвідчення від 20.05.2017 р.</t>
  </si>
  <si>
    <t>Технічний стан, СПР ст.34, 66, 98, 150, Акт технічного опосвідчення від 2019 р.</t>
  </si>
  <si>
    <t>Технічний стан, СПР ст.30, 96 Акт технічного опосвідчення</t>
  </si>
  <si>
    <t>Технічний стан, СПР ст.37, 99 Акт технічного опосвідчення від 11.03.2019 р.</t>
  </si>
  <si>
    <t>Технічний стан, СПР ст.37, 81, 99 Акт технічного опосвідчення від 15.05.2017 р.</t>
  </si>
  <si>
    <t>Технічний стан, СПР ст.34, 82, 97 Акт технічного опосвідчення  від 17.05.2017 р.</t>
  </si>
  <si>
    <t>4.5.3.</t>
  </si>
  <si>
    <t>коригування проекту</t>
  </si>
  <si>
    <t>2.1.4.</t>
  </si>
  <si>
    <t>2.1.2.</t>
  </si>
  <si>
    <t>30,36/25,1</t>
  </si>
  <si>
    <t>0,6/0,5</t>
  </si>
  <si>
    <t>Реконструкція ВРУ-35 кВ;
- організація обліку по стороні 35 кВ;
- реконструкція ЗРУ-6 кВ;                                                                                                       -заміна трансформатору;
- організація автоматизованої системи керування з видачею сигналів на диспетчерський пункт;
- організація системи сигналізації пожежної та периметральної охорони.</t>
  </si>
  <si>
    <t xml:space="preserve">Проектом передбачається:
- організація обліку по стороні 35 кВ;
- заміна обладнання ВРУ-35, встановлення ВкВ, встановлення нових ТС та ТН 35 кВ, монтаж нових роз’єднувачів, заміна ошинування ВРУ-35 кВ; - заміна силових трансформаторів;         
- заміна обладнання ЗРУ-10 кВ, заміна   МВ на ВВ, монтаж нових ТН-10 кВ;
- телемеханіка, телеуправління;
-  встановити ШОТ; 
- захист приєднань 10 кВ на базі мікропроцесорних блоків захисту;
- замінити панель управління ввідних вимикачів;
- виконати заміну всієї кабельно – провідникової продукції замінених комірок;
- виконати опалення та кондиціювання приміщень;
- виконати охоронну та пожежну сигналізацію;
- заміна мережі ланцюгів зовнішнього освітлення.  </t>
  </si>
  <si>
    <t xml:space="preserve">Рік виконання </t>
  </si>
  <si>
    <t>План реалізації</t>
  </si>
  <si>
    <t xml:space="preserve">Розробка ТЕО будівництва ПС "Красногвардійська" </t>
  </si>
  <si>
    <t xml:space="preserve">Розробка проекту "Реконструкція ПС 150/6 кВ "Пролісок" з ЛЕП-150 кВ" </t>
  </si>
  <si>
    <t>Будівництво ПС</t>
  </si>
  <si>
    <t xml:space="preserve">Розробка ТЕО "Реконструкція підстанції "Пролісок" з реконфігурацією мережі зі зміною класу напруги 6/10 кВ на 20 кВ" </t>
  </si>
  <si>
    <t>Розробка проекту</t>
  </si>
  <si>
    <t>Реконструкція ел.мереж</t>
  </si>
  <si>
    <t xml:space="preserve">Розробка ТЕО "Реконструкція електричних мереж ПрАТ "ПЕЕМ "ЦЕК" з реконфігурацією мережі зі зміною класу напруги 6 кВ на 20 кВ в м. Вільногірськ </t>
  </si>
  <si>
    <t>2017-2018</t>
  </si>
  <si>
    <t xml:space="preserve">Будівництво ПС та реконструкція електричних мереж  реконфігурацією мережі зі зміною класу напруги 6 кВ на 20 кВ </t>
  </si>
  <si>
    <t>Таблиця 16.12</t>
  </si>
  <si>
    <t>Найменування ТЕО</t>
  </si>
  <si>
    <t>Проект</t>
  </si>
  <si>
    <t>N</t>
  </si>
  <si>
    <t>Показники капіталовкладень</t>
  </si>
  <si>
    <t>Джерела фінансування</t>
  </si>
  <si>
    <t>інші (економія ТВЕ)</t>
  </si>
  <si>
    <t>інші (невикористані кошти попередніх періодів)</t>
  </si>
  <si>
    <t xml:space="preserve">Амортизаційні відрахування, інші </t>
  </si>
  <si>
    <t>за перетоки реактивної е./е</t>
  </si>
  <si>
    <t>інші</t>
  </si>
  <si>
    <t xml:space="preserve">інші </t>
  </si>
  <si>
    <t xml:space="preserve"> Модернізація та закупівля колісної техніки</t>
  </si>
  <si>
    <t>"Реконструкції з заміною МВ-150кВ на елегазові вимикачі 150кВ на ПС 150/10/6кВ "ПЛМ"</t>
  </si>
  <si>
    <t xml:space="preserve">Пристрої для проведення експертизи засобів обліку та пломб </t>
  </si>
  <si>
    <t xml:space="preserve"> Технічне переоснащення ПС 35/6 кВ "Північна-35" м. Жовті Води ( «С-35») Дніпропетровської області   </t>
  </si>
  <si>
    <t>На забезпечення виконання додаткових робіт для надійного безпечного  та економічно ефективного функціонування системи розподілу ПрАТ "ПЕЕМ "ЦЕК", дотримання встановлених рівнів показників якості електропостачання на прогнозний період, забезпечення необхідної та достатньої  пропускної спроможності електромереж 20-150 кВ, забезпечення стабільної роботи електричних мереж необхідне наступне фінансування</t>
  </si>
  <si>
    <t>План інвестицій за джерелами фінансування сценарій 1</t>
  </si>
  <si>
    <t>План інвестицій за джерелами фінансування сценарій 2</t>
  </si>
  <si>
    <r>
      <t>Розробка проектної документації "Реконструкція електричних мереж ПрАТ "ПЕЕМ "ЦЕК" з реконфігурацією мережі зі зміною класу напруги 6 кВ на 20 кВ в м. Вільногірськ</t>
    </r>
    <r>
      <rPr>
        <b/>
        <sz val="11"/>
        <color indexed="8"/>
        <rFont val="Times New Roman"/>
        <family val="1"/>
        <charset val="204"/>
      </rPr>
      <t xml:space="preserve">   </t>
    </r>
  </si>
  <si>
    <t>Рік виконання  по сценарію 2</t>
  </si>
  <si>
    <t>1.1.1.</t>
  </si>
  <si>
    <t>Реконструкція електричних мереж ПрАТ "ПЕЕМ "ЦЕК" з реконфігурацією мережі зі зміною класу напруги 6 кВ на 20 кВ  
м. Вільногірськ
(Будівництво ПС 150/20 кВ м. Вільногірськ)</t>
  </si>
  <si>
    <t>ТЕО -2017</t>
  </si>
  <si>
    <t>Прибуток на виробничі інвестиції</t>
  </si>
  <si>
    <t xml:space="preserve">СПР ст.103 </t>
  </si>
  <si>
    <t xml:space="preserve">1.Будівництво нової ПС-150/20 кВ з підключенням до шин 150 кВ ПС 330 кВ ВДГМК ДП «НЕК «Укренерго»:
- Два силових трансформатори;
- ВРП-150 кВ з елегазовими вимикачами;
- Приєднання з вакуумними вимикачами 20 кВ;
- Мікропроцесорні блоки захисту, телемеханізація;                                                                                                                                                                                       2. Реконструкція електричних мереж з реконфігурацією мережі зі зміною класу напруги 6 кВ на 20 кВ та перепідключення на ПС.                                                                                                          3. Використання автоматичної системи з обліку електроенергії з використанням технологій Smart Grid.   </t>
  </si>
  <si>
    <t>1.1.2.</t>
  </si>
  <si>
    <t>Будівництво підстанції "Пролісок" з реконфігурацією мережі зі зміною класу напруги 6/10 кВ на 20 кВ м. Дніпро</t>
  </si>
  <si>
    <t>ТЕО -2017, проект 2022</t>
  </si>
  <si>
    <t>1, 2, 5, 9, 10</t>
  </si>
  <si>
    <t xml:space="preserve">СПР ст.110  ТЕО будівництва ПС "Красногвардійська" 2014 рік;                                                                             ТЕО "Реконструкція підстанції "Пролісок" з реконфігурацією мережі зі зміною класу напруги 6/10 кВ на 20 кВ" 2017 рік                                                                                                                         </t>
  </si>
  <si>
    <t xml:space="preserve">1. Будівництво ПС  закритого типу - чотириповерхова будівля:                                                                                                              - схема ЗРУ-150 кВ  «блок лінія – трансформатор» з неавтоматичною ремонтною перемичкою з боку ліні, з двома елегазовими вимикачами в колах трансформаторів; 
- встановлення 2-х силових трансформаторів одиничною потужністю 40 МВА з розщепленою обмоткою низької напруги;
- реконструкція розподільчого пристрою 150 кВ магістральної ПС 330 кВ «Дніп-ровська» з розширенням на два лінійних приєднання з встановленням елегазових вимикачів;                                                                                                                                     
- телемеханіка;                                                                                                                               - спорудження ЛЕП-150 кВ у дволанцюговому виконанні  «Дніпровська – Пролісок» довжиною 9,5 км;
2. Реконфігурація мережі зі зміною класу напруги 6/10 кВ на 20 кВ, підключення до ПС (на 2025-2029 роки). </t>
  </si>
  <si>
    <t>1.2.1.</t>
  </si>
  <si>
    <t>Будівництво (реконструкція) ТП, РП з переводом на напругу 20 кВ м. Вільногірськ</t>
  </si>
  <si>
    <t>СПР ст.103, ТЕО "Реконструкція електричних мереж ПрАТ "ПЕЕМ "ЦЕК" з реконфігурацією мережі зі зміною класу напруги 6 кВ на 20 кВ в м. Вільногірськ 2017 рік</t>
  </si>
  <si>
    <t xml:space="preserve">Реконструкція електричних мереж з реконфігурацією мережі зі зміною класу напруги 6 кВ на 20 кВ та перепідключення на ПС.  </t>
  </si>
  <si>
    <t>1.3.1.</t>
  </si>
  <si>
    <t>Будівництво ЛЕП 150 кВ до ПС 150/20 кВ м.Вільногірськ</t>
  </si>
  <si>
    <t>2/0,23</t>
  </si>
  <si>
    <t>1, 5, 10</t>
  </si>
  <si>
    <t xml:space="preserve">ЛЕП-150 кВ заплановано в дволанцюговому виконанні протяжністю по трасі 230 м проводом АС-240 для підключення безпосередньо до шин 150 кВ ПС 330 кВ ВДГМК ДП «НЕК «Укренерго»  підстанції 150/20 кВ «Вільногірська» </t>
  </si>
  <si>
    <t>1.3.2.</t>
  </si>
  <si>
    <t>Будівництво ЛЕП 150 кВ до ПС 150/6(20) кВ «Пролісок»</t>
  </si>
  <si>
    <t>2/9,5</t>
  </si>
  <si>
    <t>1, 2, 3, 5, 10</t>
  </si>
  <si>
    <t xml:space="preserve">СПР ст.110, ТЕО "Реконструкція підстанції "Пролісок" з реконфігурацією мережі зі зміною класу напруги 6/10 кВ на 20 кВ" 2017 рік   </t>
  </si>
  <si>
    <t>Будівництво дволанцюгової ЛЕП 150 кВ по трасі 9,5 км для підключення підстанції ПС 150/6(20) кВ «Пролісок» від ПС 330 кВ «Дніпровська»</t>
  </si>
  <si>
    <t>1.4.1.</t>
  </si>
  <si>
    <t>Будівництво ЛЕП 35 кВ  до ПС «С-35» 35/6 кВ м.Жовті Води</t>
  </si>
  <si>
    <t>2/4,45</t>
  </si>
  <si>
    <t>1, 2, 5</t>
  </si>
  <si>
    <t xml:space="preserve">Будівництво двоколової ЛЕП-35 кВ та перепідключення ПС «С-35» 35/6 кВ до ПЛ-35 кВЛ-К-31, Л-К-32 ПрАТ «ПЕЕМ «ЦЕК». </t>
  </si>
  <si>
    <t>так, коригування проекту</t>
  </si>
  <si>
    <t>2016, 2020</t>
  </si>
  <si>
    <t xml:space="preserve">СПР ст.24, Акт технічного опосвідчення від 03.05.2019 р. </t>
  </si>
  <si>
    <t>Технічне переоснащення ПС-154/10/6 кВ «ПЛМ»</t>
  </si>
  <si>
    <t>Амортизаційні відрахування, Прибуток на виробничі інвестиції</t>
  </si>
  <si>
    <t xml:space="preserve">СПР ст.24, Акт технічного опосвідчення від 02.04.2019 р. </t>
  </si>
  <si>
    <t>– Технічне переоснащення з заміною силового трансформатора.</t>
  </si>
  <si>
    <t>2.1.3.</t>
  </si>
  <si>
    <t>СПР ст.27, Акт технічного опосвідчення від 02.04.2019 р.</t>
  </si>
  <si>
    <t>Технічне переоснащення ПС «Наклоноствольна 150/6 кВ» 2 етап</t>
  </si>
  <si>
    <t>СПР ст.27, Акт технічного опосвідчення від 2019 р.</t>
  </si>
  <si>
    <t>Заміна силових трансформаторів на нові .</t>
  </si>
  <si>
    <t>2.1.5.</t>
  </si>
  <si>
    <t>Технічне переоснащення ПС-154/35/6 кВ «КПО»</t>
  </si>
  <si>
    <t>1,.2,.3,.5,.9</t>
  </si>
  <si>
    <t>СПР ст.24, 62, Акт технічного опосвідчення від 19.05.2017 р.</t>
  </si>
  <si>
    <t>Повна заміна обладнання ВРУ-35 кВ,  заміна силових трансформаторів, організація обліку по стороні 150 кВ, телемеханіки та телеуправління, заміна МВ на ВВ РУ-6 кВ.</t>
  </si>
  <si>
    <t>2.1.6.</t>
  </si>
  <si>
    <t>СПР ст. 25, Акт технічного опосвідчення від 20.05.2017 р.</t>
  </si>
  <si>
    <t>2.1.7.</t>
  </si>
  <si>
    <t>Технічне переоснащення ПС-150/6/6 кВ «ПЗТО»</t>
  </si>
  <si>
    <t>1, 2, 3, 4, 5, 6</t>
  </si>
  <si>
    <t>СПР ст.26, Акт технічного опосвідчення від 22.05.2017 р.</t>
  </si>
  <si>
    <t>Технічне переоснащення  ПС:
- організація обліку по стороні 150 кВ; 
- заміна обладнання ВРУ-150, заміна порталів 150 кВ, ошинування, заміна ВД-КЗ 150 кВ на елегазові вимикачі, заміна роз’єднувачів; 
- на приєднанні 150 кВ ТС встановити типу IMB-170 виробництва АВВ, ТН з литою ізоляцією, підключення ТН-150 кВ виконати через роз’єднувачі;                       
- заміна обладнання ЗРУ-6 кВ, ретрофіт існуючих комірок з заміною МВ на вакуумні вимикачі, замінити ТВП, ШОТ, ЩПС;
- заміна силових трансформаторів 1Т, 2Т типу ТРДН-32000/150 У1;
- заміна всієї кабельно–провідникової продукції під нове обладнання;
- релейний захист 150 кВ виконати на базі мікропроцесорних блоків захисту , замінити панель управління ввідних вимикачів, замінити панель ЦС, передбачити передачу вимикаючого імпульсу на ПС 330 кВ «Павлоградська»;
- виконати пожежну та охоронну сигналізацію підстанції, встановити  пости відеоспостереження;
- виконати заміну мережі освітлення ПС; 
- телемеханіка, телеуправління.</t>
  </si>
  <si>
    <t>2.1.8.</t>
  </si>
  <si>
    <t>Технічне переоснащення ПС-150/10/6 кВ «ПМЗ»</t>
  </si>
  <si>
    <t>СПР ст.27, Акт технічного опосвідчення від 22.05.2017 р.</t>
  </si>
  <si>
    <t xml:space="preserve">Проектом передбачається:
- організація обліку по стороні 150 кВ;
- заміна обладнання ВРУ-150 кВ з заміною порталів та ошинування, з заміною силового трансформатора 4Т типу ТРДН-32000/150 У1, ремонт існуючого маслозбірника, маслостоків, масло приймача;
- заміна обладнання ЗРУ-10/6 кВ, ретрофіт існуючих комірок ЗРУ 10/6 кВ;
- заміна всієї кабельно–провідникової продукції під нове обладнання;
- релейний захист 150 кВ виконати на базі мікропроцесорних блоків захисту, замінити панель управління ввідних вимикачів;
- телемеханіка, телеуправління,.
</t>
  </si>
  <si>
    <t xml:space="preserve"> Технічне переоснащення ПС «С-35» 35/6 кВ м. Жовті Води ("Північна-35")</t>
  </si>
  <si>
    <t>2.2.2.</t>
  </si>
  <si>
    <t>Реконструкція ПС «С-35» 35/6 кВ м. Жовті Води</t>
  </si>
  <si>
    <t>СПР ст.30, 125,147</t>
  </si>
  <si>
    <t>Проектом передбачається:
- Встановлення нового силового  трансформатора 2Т.
- Монтаж нової 2 секції 35 кВ з вакуумним вимикачем ВР-35 НС, литими трансформаторами струму, ОПН, роз’єднувачами типу РГ-35/1000 УХЛ1.
- Реконструкція зі зміною електричної схеми 1 секції 35 кВ, з перемонтажем вакуумного вимикача Т-31 типу ВР-35НС, монтажем нових трансформаторів струму ТРО-70.11, ОПН, роз’єднувачів типу РГ-35/1000 УХЛ1. 
- Встановленням додаткових комірок для приєднання споживачів на 1,2 сек.6 кВ.
- Монтаж нових залізобетонних кабельних лотків для прокладання кабелів вторинної комутації 1, 2 секції 35 кВ.
- РЗА силових трансформаторів 1Т, 2Т  виконана на базі мікропроцесорних блоків захисту.
- Реконструкція зовнішнього освітлення ВРУ-35 кВ.
- Будівництво двоколової ЛЕП-35 кВ та перепідключення ПС «С-35» 35/6 кВ до ПЛ-35 кВ Л-К-31, Л-К-32 ПрАТ «ПЕЕМ «ЦЕК». 
- Телемеханізація .</t>
  </si>
  <si>
    <t>СПР ст.34, 150, Акт технічного опосвідчення від 2019 р.</t>
  </si>
  <si>
    <t>2.2.4.</t>
  </si>
  <si>
    <t>Технічне переоснащення ПС 35/6 кВ «Рахманово»</t>
  </si>
  <si>
    <t>СПР ст.35, Акт технічного опосвідчення від 2019 р.</t>
  </si>
  <si>
    <t>Заміна обладнання ВРУ-35 кВ;
Організація обліку по стороні 35 кВ; 
Встановлення КРПЗ-6 кВ, перепідключення споживачів від існуючого ЗРУ-6 кВ до нового КРПЗ-6 кВ;
Телемеханіка, телеуправління.</t>
  </si>
  <si>
    <t>2.2.5.</t>
  </si>
  <si>
    <t>Технічне переоснащення ПС-35/6 кВ «Палмаш»</t>
  </si>
  <si>
    <t>1, 2, 3, 9</t>
  </si>
  <si>
    <t>СПР ст.32, Акт технічного опосвідчення від 22.05.2017 р.</t>
  </si>
  <si>
    <t>Проектом передбачається:                                                                                                     - Організація обліку по стороні 35 кВ, монтаж ТН з литою ізоляцією антирезонансного виконання, ТС з литою ізоляцією, підключення ТН-35 кВ виконати через роз’єднувачі;
- Телемеханіки та телеуправління; 
- Заміна обладнання ВРУ-35 кВ та РУ-6 кВ, монтаж нових комірок ЗРУ-6 кВ з вакуумними вимикачами, з ТН-6 кВ, ТВП, ТС з литою ізоляцією, ОПН з полімерною ізоляцією;
- Захист приєднань 6 кВ виконати на базі мікропроцесорних блоків захисту;
- Замінити панелів управління ввідних вимикачів; 
- Заміна всієї кабельно–провідникової продукції замінених  комірок;
- Заміна мережі зовнішнього освітлення;
- Ремонт будівлі ЗРУ-6 кВ.</t>
  </si>
  <si>
    <t>СПР ст.30, Акт технічного опосвідчення</t>
  </si>
  <si>
    <t>2.2.7.</t>
  </si>
  <si>
    <t>Технічне переоснащення ПС «ЦЗ» 35/6 кВ</t>
  </si>
  <si>
    <t>1, 2, 3, 8, 9</t>
  </si>
  <si>
    <t>СПР ст.32, Акт технічного опосвідчення</t>
  </si>
  <si>
    <t>Проектом передбачається:
- організація обліку по стороні 35 кВ;
- заміна обладнання ВРУ-35 з заміною ошинування;
- заміна обладнання ЗРУ-6 кВ, монтаж нових ТН-6 кВ, ТВП, заміна існуючих МВ на ВкВ;
- заміна всієї кабельно – провідникової продукції замінених комірок;
- виконати опалення та кондиціювання приміщень;
- виконати охоронну та пожежну сигналізацію;
- заміна мережі зовнішнього освітлення;  
- телемеханізація підстанції..</t>
  </si>
  <si>
    <t>2.2.8.</t>
  </si>
  <si>
    <t>Технічне переоснащення ПС «НВ-ЦЗ» 35/6 кВ</t>
  </si>
  <si>
    <t>СПР ст.33, Акт технічного опосвідчення</t>
  </si>
  <si>
    <t>Проектом передбачено:
- Заміна розрядників РВС-35 кВ на обмежувачі перенапруг .
- Встановлення нових трансформаторів струму типу TPO 70.11 40.5.
- Встановлення нових трансформаторів напруги типу TJO 7 .
- Заміна масляного вимикача 35 кВ  на  вакуумний.
- Заміна роз'єднувачів 35 кВ типу РНДЗ-2-35/1000 У1.</t>
  </si>
  <si>
    <t>2.2.9.</t>
  </si>
  <si>
    <t>Технічне переоснащення ПС-35/6 кВ «Стрічка»  1 етап</t>
  </si>
  <si>
    <t>СПР ст.36, Акт технічного опосвідчення від 22.05.2017 р.</t>
  </si>
  <si>
    <t xml:space="preserve">Організація обліку по стороні 35 кВ, телемеханіки та телеуправління, з заміною в ЗРУ-6 кВ МВ на ВВ, ремонт будівлі підстанції. </t>
  </si>
  <si>
    <t>СПР ст.37, Акт технічного опосвідчення від 11.03.2019 р.</t>
  </si>
  <si>
    <t>Реконструкція ВРУ-35 кВ;
- організація обліку по стороні 35 кВ;
- реконструкція ЗРУ-6 кВ;                                                                                                 - заміна трансформатору;
- організація автоматизованої системи керування з видачею сигналів на диспетчерський пункт;
- організація системи сигналізації пожежної та периметральної охорони.</t>
  </si>
  <si>
    <t>СПР ст.37, Акт технічного опосвідчення від 15.05.2017 р.</t>
  </si>
  <si>
    <t>СПР ст.34, Акт технічного опосвідчення  від 17.05.2017 р.</t>
  </si>
  <si>
    <t xml:space="preserve">Проектом передбачається:
- організація обліку по стороні 35 кВ;
- заміна обладнання ВРУ-35, встановлення ВкВ, встановлення нових ТС та ТН 35 кВ, монтаж нових роз’єднувачів, заміна ошинування ВРУ-35 кВ;
- заміна обладнання ЗРУ-10 кВ, заміна   МВ на ВВ, монтаж нових ТН-10 кВ;
- телемеханіка, телеуправління;
-  встановити ШОТ; 
- захист приєднань 10 кВ на базі мікропроцесорних блоків захисту;
- замінити панель управління ввідних вимикачів;
- виконати заміну всієї кабельно – провідникової продукції замінених комірок;
- виконати опалення та кондиціювання приміщень;
- виконати охоронну та пожежну сигналізацію;
- заміна мережі ланцюгів зовнішнього освітлення.  </t>
  </si>
  <si>
    <t>ПЛ-150 кВ Л-0-10-А/Л-0-11-А</t>
  </si>
  <si>
    <t>2.4.1.</t>
  </si>
  <si>
    <t>ПЛ-35 кВ Л-Інг-31</t>
  </si>
  <si>
    <t>СПР ст. 64, 101, Акт дефектів від 18.04.2016р.</t>
  </si>
  <si>
    <t>Повна реконструкція ПЛ-35 кВ в існуючому створі на нових фундаментах, на нових з/б проміжних та металевих анкерних опорах. Запроектувати також нове обладнання ПЛ: грозозахисний трос та контури заземлення опор, провід АС-120, полімерну ізоляцію, полімерні ОПН, лінійну арматуру та інше. Металоконструкції опор повинні бути обробленні гарячим цинкуванням.</t>
  </si>
  <si>
    <t>2.4.2.</t>
  </si>
  <si>
    <t>ПЛ-35 кВ Л-МКР-31</t>
  </si>
  <si>
    <t>СПР ст. 64, 101, Акт дефектів від 12.05.2016р.</t>
  </si>
  <si>
    <t>Реконструкція ПЛ-35 кВ: 
- встановлення нової ПЛ-35 кВ в  створі існуючої ПЛ-35 кВ Л-МКР-31;
- згідно ПУЕ 2017 року п. 2.5.86 та відповідно табл.2.5.16 з урахуванням, що ПЛ-35 кВ Л-МКР-31 не є відгалуженням від існуючих магістральних ліній застосувати сталеалюмінієвий провід марки АС-120 (підтвердити розрахунком);
- лінійна арматура повинна бути захищена гарячим цинкуванням;
- кріплення проводу, на перетинаннях через залізниці, шляхи з твердим дорожнім покриттям, ПЛЕП, ПЛЗ, через різні наземні трубопроводи і споруди для транспортування нафти, газу, аміаку і т.і., а також при проходженні ПЛ по населеній місцевості, виконати двох-ланцюговим як на проміжних так і на анкерних опорах;
- встановлення металевих уніфікованих опор - Анкерно-кутові, кінцеві опори, опори для відгалуження;
- для захисту від перенапруг на кінцевих опорах на кожну фазу встановити обмежувачі перенапруг ОПН-35;
- грозозахист ПЛ виконати тросом марки ТК-50 зі сталевих оцинкованих проволок.</t>
  </si>
  <si>
    <t>2.4.3.</t>
  </si>
  <si>
    <t>ПЛ-35 кВ Л-0-ЮЖ-31/Л-0-ЮЖ-32</t>
  </si>
  <si>
    <t>2/4,8</t>
  </si>
  <si>
    <t>СПР ст. 64, 101, Акт дефектів від 21.07.2017р.</t>
  </si>
  <si>
    <t xml:space="preserve"> Повна реконструкція ПЛ-35 кВ в існуючому створі на нових фундаментах, на нових з/б проміжних та металевих анкерних опорах, грозозахисний трос та контури заземлення опор, провід АС-120, полімерну ізоляцію, полімерні ОПН, лінійну арматуру та інше. Металоконструкції опор повинні бути обробленні гарячим цинкуванням.</t>
  </si>
  <si>
    <t>2.4.4.</t>
  </si>
  <si>
    <t>Л-САЗ</t>
  </si>
  <si>
    <t>Інші джерела (за перетоки реактивної енергії)</t>
  </si>
  <si>
    <t>СПР ст. 64, 102, Акт дефектів від 13.05.2017р.</t>
  </si>
  <si>
    <t xml:space="preserve"> Повна реконструкція ПЛ-35 кВ  в існуючому створі на нових фундаментах, на нових з/б проміжних та металевих анкерних опорах, грозозахисний трос та контури заземлення опор, провід АС-120, полімерна ізоляція, полімерні ОПН, лінійну арматуру та інше. Металоконструкції опор повинні бути обробленні гарячим цинкуванням.</t>
  </si>
  <si>
    <t>2.4.5.</t>
  </si>
  <si>
    <t>Будівництво (реконструкція) ПЛ-6 кВ з перводом на ПЛ-20 кВ м. Вільногірськ</t>
  </si>
  <si>
    <t>СПР ст.103,ТЕО "Реконструкція електричних мереж ПрАТ "ПЕЕМ "ЦЕК" з реконфігурацією мережі зі зміною класу напруги 6 кВ на 20 кВ в м. Вільногірськ 2017 рік</t>
  </si>
  <si>
    <t xml:space="preserve">Реконструкція електричних мереж ПрАТ "ПЕЕМ "ЦЕК" з реконфігурацією мережі зі зміною класу напруги 6 кВ на 20 кВ в м. Вільногірськ» </t>
  </si>
  <si>
    <t>2.4.6.</t>
  </si>
  <si>
    <t>Будівництво (реконструкція) КЛ-6 кВ з перводом на КЛ-20 кВ</t>
  </si>
  <si>
    <t>Амортизаційні відрахування, прибуток на виробничі інвестиції, інші джерела (за перетоки реактивної енергії)</t>
  </si>
  <si>
    <t>КСР ст.12, акти дефектів</t>
  </si>
  <si>
    <t>3.2.2.</t>
  </si>
  <si>
    <t>Будівництво КЛ -0,4 кВ до ж/б в м. Павлоград</t>
  </si>
  <si>
    <t>3.4.2.</t>
  </si>
  <si>
    <t>Будівництво ПЛ-10 кВ</t>
  </si>
  <si>
    <t>Будівництво ПЛ-10 кВ від оп. № Л-18к до РУ-10 кВ ТП-621</t>
  </si>
  <si>
    <t xml:space="preserve"> "Будівництво розвантажувального КТП-6/0,4 кВ з заміною проводу АС на СІП існуючих ПЛ-0,4 кВ в м. Кривий Ріг." </t>
  </si>
  <si>
    <t>Реконструкція ПЛ-10 кВ Л-148 від. оп. №72 Р-148-МТП-164, МТП-163, з демонтажом КЛ-10 кВ №Л-151 від оп. №13 до оп. №14 м. Павлоград</t>
  </si>
  <si>
    <t>Актуалізація схеми перспективного розвитку ел.мереж</t>
  </si>
  <si>
    <t>Заходи з удосконалення та розвитку IT-інфраструктури під сучасні потреби бізнесу, в т.ч. Телемеханізація підстанцій</t>
  </si>
  <si>
    <t>_____________________</t>
  </si>
  <si>
    <t>Назва обладнання та</t>
  </si>
  <si>
    <t>якісна оцінка*</t>
  </si>
  <si>
    <t>(по трасі)</t>
  </si>
  <si>
    <t>ПЛ-6 (10-20) кВ, усього</t>
  </si>
  <si>
    <t>КЛ-6 (10-20) кВ, усього</t>
  </si>
  <si>
    <t>ПС з вищим класом напруги</t>
  </si>
  <si>
    <t>110 (150) кВ, усього</t>
  </si>
  <si>
    <t>35 кВ, усього</t>
  </si>
  <si>
    <t>Трансформаторні підстанції (ТП), розподільні пункти (РП) 6 (10-20) кВ, усього</t>
  </si>
  <si>
    <t>5.3.7</t>
  </si>
  <si>
    <t>2.2.10.</t>
  </si>
  <si>
    <t>ст.49</t>
  </si>
  <si>
    <t>ст.57</t>
  </si>
  <si>
    <t>ст.126</t>
  </si>
  <si>
    <t>ст.35,  154</t>
  </si>
  <si>
    <t>ст.35, 132</t>
  </si>
  <si>
    <t>ст.39, 150</t>
  </si>
  <si>
    <t>ст.29,98</t>
  </si>
  <si>
    <t>ст.30,104</t>
  </si>
  <si>
    <t>ст.39,149</t>
  </si>
  <si>
    <t>ст.150</t>
  </si>
  <si>
    <t>ст.81,122</t>
  </si>
  <si>
    <t>ст.67,122</t>
  </si>
  <si>
    <t>технічне переоснащення з заміною тр-рів 2х40 МВА</t>
  </si>
  <si>
    <t>Видано ТУ СЕС на 4,9 МВт-2018р.</t>
  </si>
  <si>
    <t>Видано ТУ СЕС на 11,6 МВт - 2018 р.</t>
  </si>
  <si>
    <t>Видано ТУ СЕС на 12,8 МВт - 2018р.</t>
  </si>
  <si>
    <t>технічне переоснащення з заміною тр-ру на 4 МВА</t>
  </si>
  <si>
    <t>Узагальнений технічний стан об'єктів електричних мереж системи розподілу (сценарій 1)</t>
  </si>
  <si>
    <t>Узагальнений технічний стан об'єктів електричних мереж системи розподілу (сценарій 2)</t>
  </si>
  <si>
    <t>виконати в 2020 (сценарій 1)</t>
  </si>
  <si>
    <t>виконати в 2021-2022 (сценарій 1)</t>
  </si>
  <si>
    <t>виконати в 2022 (сценарій 1)</t>
  </si>
  <si>
    <t>виконати в 2025 (сценарій 1)</t>
  </si>
  <si>
    <t>виконати в 2024-2025 (сценарій 1)</t>
  </si>
  <si>
    <t>виконати 2026 (сценарій 2)</t>
  </si>
  <si>
    <t>сценарій 2</t>
  </si>
  <si>
    <t>виконати в 2022-2023 (сценарій 1)</t>
  </si>
  <si>
    <t>виконати 2023-2023 (сценарій 1, 2)</t>
  </si>
  <si>
    <t>виконати 2027-2030 (сценарій 1, 2)</t>
  </si>
  <si>
    <t>виконати 2025 (сценарій 1)</t>
  </si>
  <si>
    <t>виконати в 2026 (сценарій 1)</t>
  </si>
  <si>
    <t>виконати в 2027 (сценарій 1)</t>
  </si>
  <si>
    <t>виконати в 2028 (сценарій 1)</t>
  </si>
  <si>
    <t>виконати в 2021 (сценарій 1)</t>
  </si>
  <si>
    <r>
      <t xml:space="preserve">2020-2022 </t>
    </r>
    <r>
      <rPr>
        <b/>
        <sz val="12"/>
        <color theme="1"/>
        <rFont val="Times New Roman"/>
        <family val="1"/>
        <charset val="204"/>
      </rPr>
      <t>(сценарій 2)</t>
    </r>
  </si>
  <si>
    <r>
      <t xml:space="preserve">2023-2024 </t>
    </r>
    <r>
      <rPr>
        <b/>
        <sz val="12"/>
        <color theme="1"/>
        <rFont val="Times New Roman"/>
        <family val="1"/>
        <charset val="204"/>
      </rPr>
      <t>(сценарій 2)</t>
    </r>
  </si>
  <si>
    <r>
      <t xml:space="preserve">2025-2028 </t>
    </r>
    <r>
      <rPr>
        <b/>
        <sz val="12"/>
        <color theme="1"/>
        <rFont val="Times New Roman"/>
        <family val="1"/>
        <charset val="204"/>
      </rPr>
      <t>(сценарій 2)</t>
    </r>
  </si>
  <si>
    <t>Перелік та етапи виконання заходів ПРСР (сценарій 1)</t>
  </si>
  <si>
    <t>Перелік та етапи виконання заходів ПРСР (сценарій 2)</t>
  </si>
  <si>
    <t>ст.29,100</t>
  </si>
  <si>
    <t>ст.30,109</t>
  </si>
  <si>
    <t>ст.30,103</t>
  </si>
  <si>
    <t>ст.31,151</t>
  </si>
  <si>
    <t>ст.31, 107</t>
  </si>
  <si>
    <t>ст.31,107</t>
  </si>
  <si>
    <t>ст.32,108</t>
  </si>
  <si>
    <t>ст.32, 108</t>
  </si>
  <si>
    <t>ст.32,110</t>
  </si>
  <si>
    <t>ст.33,113</t>
  </si>
  <si>
    <t>ст.33,116</t>
  </si>
  <si>
    <t>ст.34,130</t>
  </si>
  <si>
    <t>ст.35,133</t>
  </si>
  <si>
    <t>ст.36, 135</t>
  </si>
  <si>
    <t>ст.36,142</t>
  </si>
  <si>
    <t>ст.37,137</t>
  </si>
  <si>
    <t>ст.37, 138</t>
  </si>
  <si>
    <t>ст.38,139</t>
  </si>
  <si>
    <t>ст.38,144</t>
  </si>
  <si>
    <t>ст.39, 149</t>
  </si>
  <si>
    <t>стр.39,146</t>
  </si>
  <si>
    <t>ст.40,147</t>
  </si>
  <si>
    <t>ст.39,148</t>
  </si>
  <si>
    <t>ст.40,151</t>
  </si>
  <si>
    <t>Повна реконструкція ПЛ-150 кВ в існуючому створі на нових фундаментах та на нових металевих опорах, провід АС-185, полімерну ізоляцію, полімерні ОПН</t>
  </si>
  <si>
    <t xml:space="preserve"> Акт дефектів від 13.05.2018р</t>
  </si>
  <si>
    <t>ст.66, 121</t>
  </si>
  <si>
    <t>ст80,121</t>
  </si>
  <si>
    <t>ст.120</t>
  </si>
  <si>
    <t>ст.125</t>
  </si>
  <si>
    <t>Генеральний директор-</t>
  </si>
  <si>
    <t>Голова Правління</t>
  </si>
  <si>
    <t>_______________М.В. Корса______________</t>
  </si>
  <si>
    <t>Н.О. Марчук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</si>
</sst>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 _₽_-;\-* #,##0.00\ _₽_-;_-* &quot;-&quot;??\ _₽_-;_-@_-"/>
    <numFmt numFmtId="165" formatCode="_-* #,##0.00\ _р_._-;\-* #,##0.00\ _р_._-;_-* &quot;-&quot;??\ _р_._-;_-@_-"/>
    <numFmt numFmtId="166" formatCode="0.0"/>
    <numFmt numFmtId="167" formatCode="#,##0.0_ ;[Red]\-#,##0.0\ "/>
    <numFmt numFmtId="168" formatCode="#,##0_ ;[Red]\-#,##0\ "/>
    <numFmt numFmtId="169" formatCode="#,##0.00_ ;[Red]\-#,##0.00\ "/>
    <numFmt numFmtId="170" formatCode="0.000"/>
    <numFmt numFmtId="171" formatCode="_-* #,##0.00\ _г_р_н_._-;\-* #,##0.00\ _г_р_н_._-;_-* &quot;-&quot;??\ _г_р_н_._-;_-@_-"/>
    <numFmt numFmtId="172" formatCode="_-* #,##0_-;\-* #,##0_-;_-* &quot;-&quot;??_-;_-@_-"/>
    <numFmt numFmtId="173" formatCode="_-* #,##0.0\ _₽_-;\-* #,##0.0\ _₽_-;_-* &quot;-&quot;?\ _₽_-;_-@_-"/>
    <numFmt numFmtId="174" formatCode="0.0%"/>
  </numFmts>
  <fonts count="47">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b/>
      <sz val="11"/>
      <name val="Times New Roman"/>
      <family val="1"/>
      <charset val="204"/>
    </font>
    <font>
      <sz val="11"/>
      <name val="Times New Roman"/>
      <family val="1"/>
      <charset val="204"/>
    </font>
    <font>
      <b/>
      <i/>
      <sz val="11"/>
      <name val="Times New Roman"/>
      <family val="1"/>
      <charset val="204"/>
    </font>
    <font>
      <b/>
      <i/>
      <sz val="11"/>
      <color rgb="FF000000"/>
      <name val="Times New Roman"/>
      <family val="1"/>
      <charset val="204"/>
    </font>
    <font>
      <sz val="11"/>
      <color rgb="FF000000"/>
      <name val="Times New Roman"/>
      <family val="1"/>
      <charset val="204"/>
    </font>
    <font>
      <sz val="12"/>
      <name val="Times New Roman"/>
      <family val="1"/>
      <charset val="204"/>
    </font>
    <font>
      <b/>
      <sz val="11"/>
      <color rgb="FF000000"/>
      <name val="Times New Roman"/>
      <family val="1"/>
      <charset val="204"/>
    </font>
    <font>
      <b/>
      <i/>
      <sz val="11"/>
      <color theme="1"/>
      <name val="Times New Roman"/>
      <family val="1"/>
      <charset val="204"/>
    </font>
    <font>
      <sz val="11"/>
      <color theme="1"/>
      <name val="Times New Roman"/>
      <family val="1"/>
      <charset val="204"/>
    </font>
    <font>
      <b/>
      <sz val="12"/>
      <name val="Times New Roman"/>
      <family val="1"/>
      <charset val="204"/>
    </font>
    <font>
      <sz val="10"/>
      <name val="Arial CE"/>
      <charset val="204"/>
    </font>
    <font>
      <sz val="10"/>
      <name val="PragmaticaCTT"/>
      <charset val="204"/>
    </font>
    <font>
      <sz val="10"/>
      <name val="Arial"/>
      <family val="2"/>
      <charset val="204"/>
    </font>
    <font>
      <sz val="10"/>
      <name val="Tahoma"/>
      <family val="2"/>
      <charset val="204"/>
    </font>
    <font>
      <sz val="14"/>
      <color theme="1"/>
      <name val="Times New Roman"/>
      <family val="2"/>
      <charset val="204"/>
    </font>
    <font>
      <sz val="11"/>
      <color rgb="FF000000"/>
      <name val="Calibri"/>
      <family val="2"/>
      <charset val="204"/>
    </font>
    <font>
      <sz val="12"/>
      <name val="Arial Cyr"/>
      <charset val="204"/>
    </font>
    <font>
      <b/>
      <i/>
      <sz val="11"/>
      <color rgb="FFFF0000"/>
      <name val="Times New Roman"/>
      <family val="1"/>
      <charset val="204"/>
    </font>
    <font>
      <sz val="11"/>
      <color rgb="FFFF0000"/>
      <name val="Times New Roman"/>
      <family val="1"/>
      <charset val="204"/>
    </font>
    <font>
      <b/>
      <sz val="14"/>
      <name val="Times New Roman"/>
      <family val="1"/>
      <charset val="204"/>
    </font>
    <font>
      <sz val="10"/>
      <name val="Times New Roman"/>
      <family val="1"/>
      <charset val="204"/>
    </font>
    <font>
      <sz val="10"/>
      <name val="Times New Roman Cyr"/>
      <family val="1"/>
      <charset val="204"/>
    </font>
    <font>
      <sz val="11"/>
      <name val="Times New Roman Cyr"/>
      <family val="1"/>
      <charset val="204"/>
    </font>
    <font>
      <b/>
      <sz val="10"/>
      <name val="Times New Roman"/>
      <family val="1"/>
      <charset val="204"/>
    </font>
    <font>
      <b/>
      <sz val="16"/>
      <name val="Times New Roman"/>
      <family val="1"/>
      <charset val="204"/>
    </font>
    <font>
      <b/>
      <sz val="11"/>
      <color theme="1"/>
      <name val="Times New Roman"/>
      <family val="1"/>
      <charset val="204"/>
    </font>
    <font>
      <sz val="10"/>
      <color theme="1"/>
      <name val="Times New Roman"/>
      <family val="1"/>
      <charset val="204"/>
    </font>
    <font>
      <sz val="12"/>
      <color theme="1"/>
      <name val="Times New Roman"/>
      <family val="1"/>
      <charset val="204"/>
    </font>
    <font>
      <b/>
      <sz val="11"/>
      <color rgb="FFFF0000"/>
      <name val="Times New Roman"/>
      <family val="1"/>
      <charset val="204"/>
    </font>
    <font>
      <sz val="12"/>
      <color rgb="FF000000"/>
      <name val="Times New Roman"/>
      <family val="1"/>
      <charset val="204"/>
    </font>
    <font>
      <b/>
      <i/>
      <sz val="12"/>
      <name val="Times New Roman"/>
      <family val="1"/>
      <charset val="204"/>
    </font>
    <font>
      <b/>
      <sz val="12"/>
      <color rgb="FF000000"/>
      <name val="Times New Roman"/>
      <family val="1"/>
      <charset val="204"/>
    </font>
    <font>
      <b/>
      <sz val="11"/>
      <color indexed="8"/>
      <name val="Times New Roman"/>
      <family val="1"/>
      <charset val="204"/>
    </font>
    <font>
      <i/>
      <sz val="11"/>
      <name val="Times New Roman"/>
      <family val="1"/>
      <charset val="204"/>
    </font>
    <font>
      <b/>
      <i/>
      <sz val="12"/>
      <color theme="1"/>
      <name val="Times New Roman"/>
      <family val="1"/>
      <charset val="204"/>
    </font>
    <font>
      <sz val="11"/>
      <name val="Calibri"/>
      <family val="2"/>
      <charset val="204"/>
    </font>
    <font>
      <b/>
      <sz val="14"/>
      <color rgb="FF000000"/>
      <name val="Times New Roman"/>
      <family val="1"/>
      <charset val="204"/>
    </font>
    <font>
      <sz val="10"/>
      <color rgb="FF000000"/>
      <name val="Arial"/>
      <family val="2"/>
      <charset val="204"/>
    </font>
    <font>
      <sz val="11"/>
      <color rgb="FF000000"/>
      <name val="Calibri"/>
      <family val="2"/>
      <charset val="204"/>
      <scheme val="minor"/>
    </font>
    <font>
      <sz val="10"/>
      <color rgb="FF000000"/>
      <name val="Times New Roman"/>
      <family val="1"/>
      <charset val="204"/>
    </font>
    <font>
      <b/>
      <sz val="12"/>
      <color theme="1"/>
      <name val="Times New Roman"/>
      <family val="1"/>
      <charset val="204"/>
    </font>
    <font>
      <b/>
      <i/>
      <sz val="10"/>
      <name val="Times New Roman"/>
      <family val="1"/>
      <charset val="204"/>
    </font>
    <font>
      <b/>
      <u/>
      <sz val="12"/>
      <name val="Times New Roman"/>
      <family val="1"/>
      <charset val="204"/>
    </font>
  </fonts>
  <fills count="7">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FFFFFF"/>
        <bgColor indexed="64"/>
      </patternFill>
    </fill>
  </fills>
  <borders count="38">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style="medium">
        <color indexed="64"/>
      </top>
      <bottom/>
      <diagonal/>
    </border>
  </borders>
  <cellStyleXfs count="27">
    <xf numFmtId="0" fontId="0" fillId="0" borderId="0"/>
    <xf numFmtId="0" fontId="3" fillId="0" borderId="0"/>
    <xf numFmtId="0" fontId="3" fillId="0" borderId="0"/>
    <xf numFmtId="0" fontId="3" fillId="0" borderId="0"/>
    <xf numFmtId="0" fontId="3" fillId="0" borderId="0"/>
    <xf numFmtId="0" fontId="14" fillId="0" borderId="0"/>
    <xf numFmtId="0" fontId="15" fillId="0" borderId="0"/>
    <xf numFmtId="0" fontId="3" fillId="0" borderId="0"/>
    <xf numFmtId="0" fontId="3" fillId="0" borderId="0"/>
    <xf numFmtId="0" fontId="3" fillId="0" borderId="0"/>
    <xf numFmtId="9" fontId="3" fillId="0" borderId="0" applyFont="0" applyFill="0" applyBorder="0" applyAlignment="0" applyProtection="0"/>
    <xf numFmtId="0" fontId="16" fillId="0" borderId="0"/>
    <xf numFmtId="0" fontId="3" fillId="0" borderId="0"/>
    <xf numFmtId="0" fontId="17" fillId="0" borderId="0"/>
    <xf numFmtId="0" fontId="16" fillId="0" borderId="0"/>
    <xf numFmtId="0" fontId="18" fillId="0" borderId="0"/>
    <xf numFmtId="0" fontId="16" fillId="0" borderId="0"/>
    <xf numFmtId="0" fontId="1" fillId="0" borderId="0"/>
    <xf numFmtId="0" fontId="19" fillId="0" borderId="0"/>
    <xf numFmtId="0" fontId="3" fillId="0" borderId="0"/>
    <xf numFmtId="0" fontId="2" fillId="0" borderId="0"/>
    <xf numFmtId="0" fontId="20" fillId="0" borderId="0"/>
    <xf numFmtId="0" fontId="3" fillId="0" borderId="0"/>
    <xf numFmtId="0" fontId="15" fillId="0" borderId="0"/>
    <xf numFmtId="171" fontId="3" fillId="0" borderId="0" applyFont="0" applyFill="0" applyBorder="0" applyAlignment="0" applyProtection="0"/>
    <xf numFmtId="164" fontId="2" fillId="0" borderId="0" applyFont="0" applyFill="0" applyBorder="0" applyAlignment="0" applyProtection="0"/>
    <xf numFmtId="9" fontId="2" fillId="0" borderId="0" applyFont="0" applyFill="0" applyBorder="0" applyAlignment="0" applyProtection="0"/>
  </cellStyleXfs>
  <cellXfs count="451">
    <xf numFmtId="0" fontId="0" fillId="0" borderId="0" xfId="0"/>
    <xf numFmtId="0" fontId="5" fillId="0" borderId="0" xfId="1" applyFont="1" applyFill="1" applyBorder="1" applyAlignment="1">
      <alignment horizontal="center" vertical="center" wrapText="1"/>
    </xf>
    <xf numFmtId="0" fontId="5" fillId="0" borderId="0" xfId="1" applyFont="1" applyFill="1" applyAlignment="1">
      <alignment horizontal="center" vertical="center" wrapText="1"/>
    </xf>
    <xf numFmtId="0" fontId="4" fillId="2" borderId="2" xfId="1" applyFont="1" applyFill="1" applyBorder="1" applyAlignment="1">
      <alignment horizontal="center" vertical="center" wrapText="1"/>
    </xf>
    <xf numFmtId="0" fontId="4" fillId="2" borderId="2" xfId="1" applyFont="1" applyFill="1" applyBorder="1" applyAlignment="1"/>
    <xf numFmtId="0" fontId="5" fillId="2" borderId="0" xfId="1" applyFont="1" applyFill="1" applyAlignment="1">
      <alignment horizontal="center" vertical="center" wrapText="1"/>
    </xf>
    <xf numFmtId="0" fontId="4" fillId="3" borderId="2" xfId="1" applyFont="1" applyFill="1" applyBorder="1" applyAlignment="1">
      <alignment horizontal="center" vertical="center" wrapText="1"/>
    </xf>
    <xf numFmtId="0" fontId="4" fillId="3" borderId="2" xfId="1" applyFont="1" applyFill="1" applyBorder="1" applyAlignment="1">
      <alignment vertical="center" wrapText="1"/>
    </xf>
    <xf numFmtId="0" fontId="4" fillId="3" borderId="2" xfId="1" applyFont="1" applyFill="1" applyBorder="1" applyAlignment="1"/>
    <xf numFmtId="0" fontId="4" fillId="3" borderId="2" xfId="1" applyFont="1" applyFill="1" applyBorder="1" applyAlignment="1">
      <alignment horizontal="center"/>
    </xf>
    <xf numFmtId="0" fontId="5" fillId="3" borderId="0" xfId="1" applyFont="1" applyFill="1" applyAlignment="1">
      <alignment horizontal="center" vertical="center" wrapText="1"/>
    </xf>
    <xf numFmtId="0" fontId="6" fillId="3" borderId="2" xfId="1" applyFont="1" applyFill="1" applyBorder="1" applyAlignment="1"/>
    <xf numFmtId="0" fontId="5" fillId="0" borderId="2" xfId="2" applyFont="1" applyBorder="1" applyAlignment="1">
      <alignment horizontal="left" vertical="center" wrapText="1"/>
    </xf>
    <xf numFmtId="0" fontId="6" fillId="0" borderId="2" xfId="1" applyFont="1" applyFill="1" applyBorder="1" applyAlignment="1">
      <alignment horizontal="center"/>
    </xf>
    <xf numFmtId="0" fontId="5" fillId="0" borderId="2" xfId="2" applyFont="1" applyFill="1" applyBorder="1" applyAlignment="1">
      <alignment horizontal="center" vertical="center" wrapText="1"/>
    </xf>
    <xf numFmtId="0" fontId="5" fillId="0" borderId="2" xfId="2" applyFont="1" applyBorder="1" applyAlignment="1">
      <alignment horizontal="center" vertical="center" wrapText="1"/>
    </xf>
    <xf numFmtId="0" fontId="5" fillId="0" borderId="2" xfId="1" applyFont="1" applyFill="1" applyBorder="1" applyAlignment="1">
      <alignment horizontal="left" vertical="center" wrapText="1"/>
    </xf>
    <xf numFmtId="0" fontId="6" fillId="0" borderId="2" xfId="2" applyFont="1" applyBorder="1" applyAlignment="1">
      <alignment vertical="center" wrapText="1"/>
    </xf>
    <xf numFmtId="0" fontId="7" fillId="0" borderId="2" xfId="2" applyFont="1" applyBorder="1" applyAlignment="1">
      <alignment horizontal="center" vertical="center" wrapText="1"/>
    </xf>
    <xf numFmtId="0" fontId="4" fillId="0" borderId="2" xfId="1" applyFont="1" applyFill="1" applyBorder="1" applyAlignment="1"/>
    <xf numFmtId="0" fontId="4" fillId="0" borderId="2" xfId="1" applyFont="1" applyFill="1" applyBorder="1" applyAlignment="1">
      <alignment horizontal="center"/>
    </xf>
    <xf numFmtId="0" fontId="7" fillId="0" borderId="2" xfId="2" applyFont="1" applyFill="1" applyBorder="1" applyAlignment="1">
      <alignment horizontal="center" vertical="center" wrapText="1"/>
    </xf>
    <xf numFmtId="0" fontId="8" fillId="0" borderId="2" xfId="2" applyFont="1" applyFill="1" applyBorder="1" applyAlignment="1">
      <alignment horizontal="center" vertical="center" wrapText="1"/>
    </xf>
    <xf numFmtId="0" fontId="8" fillId="0" borderId="2" xfId="2" applyFont="1" applyFill="1" applyBorder="1" applyAlignment="1">
      <alignment horizontal="center"/>
    </xf>
    <xf numFmtId="0" fontId="6" fillId="0" borderId="2" xfId="2" applyFont="1" applyFill="1" applyBorder="1" applyAlignment="1">
      <alignment vertical="center" wrapText="1"/>
    </xf>
    <xf numFmtId="0" fontId="6" fillId="0" borderId="2" xfId="1" applyFont="1" applyFill="1" applyBorder="1" applyAlignment="1">
      <alignment horizontal="left" vertical="center" wrapText="1"/>
    </xf>
    <xf numFmtId="0" fontId="5" fillId="0" borderId="2" xfId="1" applyFont="1" applyFill="1" applyBorder="1" applyAlignment="1">
      <alignment horizontal="left" vertical="center"/>
    </xf>
    <xf numFmtId="0" fontId="5" fillId="0" borderId="2" xfId="2" applyFont="1" applyFill="1" applyBorder="1"/>
    <xf numFmtId="2" fontId="5" fillId="0" borderId="2" xfId="2" applyNumberFormat="1" applyFont="1" applyFill="1" applyBorder="1" applyAlignment="1">
      <alignment horizontal="center" vertical="center" wrapText="1"/>
    </xf>
    <xf numFmtId="0" fontId="4" fillId="2" borderId="2" xfId="1" applyFont="1" applyFill="1" applyBorder="1" applyAlignment="1">
      <alignment vertical="center"/>
    </xf>
    <xf numFmtId="0" fontId="4" fillId="2" borderId="2" xfId="1" applyFont="1" applyFill="1" applyBorder="1" applyAlignment="1">
      <alignment horizontal="center" vertical="center"/>
    </xf>
    <xf numFmtId="0" fontId="8" fillId="0" borderId="2" xfId="2" applyFont="1" applyFill="1" applyBorder="1"/>
    <xf numFmtId="167" fontId="5" fillId="0" borderId="2" xfId="1" applyNumberFormat="1" applyFont="1" applyFill="1" applyBorder="1" applyAlignment="1">
      <alignment horizontal="center" vertical="center"/>
    </xf>
    <xf numFmtId="168" fontId="5" fillId="0" borderId="2" xfId="1" applyNumberFormat="1" applyFont="1" applyFill="1" applyBorder="1" applyAlignment="1">
      <alignment horizontal="center" vertical="center"/>
    </xf>
    <xf numFmtId="0" fontId="6" fillId="0" borderId="2" xfId="1" applyFont="1" applyFill="1" applyBorder="1" applyAlignment="1">
      <alignment horizontal="left" vertical="center"/>
    </xf>
    <xf numFmtId="168" fontId="4" fillId="0" borderId="2" xfId="1" applyNumberFormat="1" applyFont="1" applyFill="1" applyBorder="1" applyAlignment="1">
      <alignment horizontal="center" vertical="center"/>
    </xf>
    <xf numFmtId="168" fontId="5" fillId="0" borderId="2" xfId="1" applyNumberFormat="1" applyFont="1" applyFill="1" applyBorder="1" applyAlignment="1">
      <alignment horizontal="center" vertical="center" wrapText="1"/>
    </xf>
    <xf numFmtId="0" fontId="6" fillId="0" borderId="2" xfId="2" applyFont="1" applyFill="1" applyBorder="1" applyAlignment="1">
      <alignment horizontal="left" vertical="top" wrapText="1"/>
    </xf>
    <xf numFmtId="0" fontId="10" fillId="0" borderId="2" xfId="2" applyFont="1" applyFill="1" applyBorder="1"/>
    <xf numFmtId="0" fontId="4" fillId="0" borderId="2" xfId="2" applyFont="1" applyFill="1" applyBorder="1" applyAlignment="1">
      <alignment horizontal="center" vertical="center" wrapText="1"/>
    </xf>
    <xf numFmtId="0" fontId="4" fillId="0" borderId="0" xfId="1" applyFont="1" applyFill="1" applyAlignment="1">
      <alignment horizontal="center" vertical="center" wrapText="1"/>
    </xf>
    <xf numFmtId="0" fontId="11" fillId="0" borderId="2" xfId="2" applyFont="1" applyFill="1" applyBorder="1" applyAlignment="1">
      <alignment horizontal="left" vertical="top" wrapText="1"/>
    </xf>
    <xf numFmtId="169" fontId="5" fillId="0" borderId="2" xfId="1" applyNumberFormat="1" applyFont="1" applyFill="1" applyBorder="1" applyAlignment="1">
      <alignment horizontal="center" vertical="center"/>
    </xf>
    <xf numFmtId="0" fontId="4" fillId="2" borderId="2" xfId="1" applyFont="1" applyFill="1" applyBorder="1" applyAlignment="1">
      <alignment horizontal="left" vertical="center"/>
    </xf>
    <xf numFmtId="167" fontId="4" fillId="2" borderId="2" xfId="1" applyNumberFormat="1" applyFont="1" applyFill="1" applyBorder="1" applyAlignment="1">
      <alignment horizontal="center" vertical="center"/>
    </xf>
    <xf numFmtId="0" fontId="4" fillId="0" borderId="2" xfId="1" applyFont="1" applyFill="1" applyBorder="1" applyAlignment="1">
      <alignment horizontal="center" vertical="center"/>
    </xf>
    <xf numFmtId="166" fontId="4" fillId="0" borderId="2" xfId="2" applyNumberFormat="1" applyFont="1" applyFill="1" applyBorder="1" applyAlignment="1">
      <alignment horizontal="center" vertical="center" wrapText="1"/>
    </xf>
    <xf numFmtId="0" fontId="4" fillId="0" borderId="2" xfId="1" applyFont="1" applyFill="1" applyBorder="1" applyAlignment="1">
      <alignment vertical="center"/>
    </xf>
    <xf numFmtId="167" fontId="4" fillId="0" borderId="2" xfId="2" applyNumberFormat="1" applyFont="1" applyFill="1" applyBorder="1" applyAlignment="1">
      <alignment horizontal="center" vertical="center" wrapText="1"/>
    </xf>
    <xf numFmtId="2" fontId="4" fillId="0" borderId="2" xfId="2" applyNumberFormat="1" applyFont="1" applyFill="1" applyBorder="1" applyAlignment="1">
      <alignment horizontal="center" vertical="center" wrapText="1"/>
    </xf>
    <xf numFmtId="49" fontId="5" fillId="3" borderId="2" xfId="1" applyNumberFormat="1" applyFont="1" applyFill="1" applyBorder="1" applyAlignment="1">
      <alignment horizontal="center" vertical="center" wrapText="1"/>
    </xf>
    <xf numFmtId="0" fontId="5" fillId="3" borderId="2" xfId="1" applyFont="1" applyFill="1" applyBorder="1" applyAlignment="1">
      <alignment horizontal="left" vertical="center" wrapText="1"/>
    </xf>
    <xf numFmtId="0" fontId="6" fillId="3" borderId="2" xfId="1" applyFont="1" applyFill="1" applyBorder="1" applyAlignment="1">
      <alignment horizontal="center"/>
    </xf>
    <xf numFmtId="0" fontId="5" fillId="3" borderId="2" xfId="2" applyFont="1" applyFill="1" applyBorder="1" applyAlignment="1">
      <alignment horizontal="center" vertical="center" wrapText="1"/>
    </xf>
    <xf numFmtId="0" fontId="8" fillId="3" borderId="2" xfId="2" applyFont="1" applyFill="1" applyBorder="1" applyAlignment="1">
      <alignment horizontal="center" vertical="center" wrapText="1"/>
    </xf>
    <xf numFmtId="0" fontId="6" fillId="3" borderId="2" xfId="1" applyFont="1" applyFill="1" applyBorder="1" applyAlignment="1">
      <alignment horizontal="left" vertical="center" wrapText="1"/>
    </xf>
    <xf numFmtId="49" fontId="5" fillId="0" borderId="2" xfId="1" applyNumberFormat="1" applyFont="1" applyFill="1" applyBorder="1" applyAlignment="1">
      <alignment horizontal="center" vertical="center" wrapText="1"/>
    </xf>
    <xf numFmtId="0" fontId="5" fillId="0" borderId="2" xfId="2" applyFont="1" applyFill="1" applyBorder="1" applyAlignment="1">
      <alignment wrapText="1"/>
    </xf>
    <xf numFmtId="0" fontId="5" fillId="0" borderId="2" xfId="2" applyFont="1" applyFill="1" applyBorder="1" applyAlignment="1">
      <alignment horizontal="center" wrapText="1"/>
    </xf>
    <xf numFmtId="2" fontId="5" fillId="0" borderId="2" xfId="2" applyNumberFormat="1" applyFont="1" applyFill="1" applyBorder="1" applyAlignment="1">
      <alignment horizontal="center" wrapText="1"/>
    </xf>
    <xf numFmtId="2" fontId="8" fillId="0" borderId="2" xfId="2" applyNumberFormat="1" applyFont="1" applyBorder="1" applyAlignment="1">
      <alignment horizontal="center" vertical="center" wrapText="1"/>
    </xf>
    <xf numFmtId="0" fontId="6" fillId="0" borderId="3" xfId="1" applyFont="1" applyFill="1" applyBorder="1" applyAlignment="1">
      <alignment horizontal="center"/>
    </xf>
    <xf numFmtId="2" fontId="6" fillId="0" borderId="3" xfId="1" applyNumberFormat="1" applyFont="1" applyFill="1" applyBorder="1" applyAlignment="1">
      <alignment horizontal="center"/>
    </xf>
    <xf numFmtId="0" fontId="4" fillId="0" borderId="0" xfId="1" applyFont="1" applyFill="1" applyBorder="1" applyAlignment="1">
      <alignment horizontal="left" vertical="center"/>
    </xf>
    <xf numFmtId="0" fontId="6" fillId="0" borderId="0" xfId="1" applyFont="1" applyFill="1" applyBorder="1" applyAlignment="1">
      <alignment horizontal="center"/>
    </xf>
    <xf numFmtId="2" fontId="6" fillId="0" borderId="0" xfId="1" applyNumberFormat="1" applyFont="1" applyFill="1" applyBorder="1" applyAlignment="1">
      <alignment horizontal="center"/>
    </xf>
    <xf numFmtId="0" fontId="8" fillId="0" borderId="0" xfId="2" applyFont="1" applyBorder="1" applyAlignment="1">
      <alignment horizontal="center"/>
    </xf>
    <xf numFmtId="0" fontId="5" fillId="0" borderId="0" xfId="3" applyFont="1" applyFill="1"/>
    <xf numFmtId="0" fontId="5" fillId="0" borderId="0" xfId="3" applyFont="1" applyFill="1" applyBorder="1"/>
    <xf numFmtId="0" fontId="5" fillId="0" borderId="0" xfId="1" applyFont="1" applyAlignment="1" applyProtection="1">
      <alignment horizontal="center" vertical="center"/>
    </xf>
    <xf numFmtId="0" fontId="5" fillId="0" borderId="0" xfId="4" applyFont="1" applyProtection="1"/>
    <xf numFmtId="0" fontId="5" fillId="0" borderId="0" xfId="4" applyFont="1" applyBorder="1" applyProtection="1"/>
    <xf numFmtId="0" fontId="5" fillId="0" borderId="0" xfId="1" applyFont="1" applyBorder="1" applyAlignment="1">
      <alignment horizontal="center" vertical="center" wrapText="1"/>
    </xf>
    <xf numFmtId="0" fontId="5" fillId="0" borderId="0" xfId="1" applyFont="1" applyAlignment="1">
      <alignment horizontal="center"/>
    </xf>
    <xf numFmtId="0" fontId="4" fillId="0" borderId="0" xfId="5" applyFont="1" applyBorder="1" applyAlignment="1" applyProtection="1">
      <alignment horizontal="left"/>
      <protection hidden="1"/>
    </xf>
    <xf numFmtId="0" fontId="5" fillId="0" borderId="0" xfId="5" applyFont="1" applyAlignment="1" applyProtection="1">
      <alignment horizontal="center" vertical="center"/>
      <protection hidden="1"/>
    </xf>
    <xf numFmtId="0" fontId="5" fillId="0" borderId="0" xfId="1" applyFont="1" applyFill="1"/>
    <xf numFmtId="0" fontId="5" fillId="0" borderId="0" xfId="5" applyFont="1" applyProtection="1">
      <protection hidden="1"/>
    </xf>
    <xf numFmtId="0" fontId="5" fillId="0" borderId="0" xfId="6" applyFont="1"/>
    <xf numFmtId="0" fontId="5" fillId="0" borderId="0" xfId="5" applyFont="1" applyAlignment="1" applyProtection="1">
      <protection hidden="1"/>
    </xf>
    <xf numFmtId="0" fontId="5" fillId="0" borderId="0" xfId="5" applyFont="1" applyAlignment="1" applyProtection="1">
      <alignment vertical="center"/>
      <protection hidden="1"/>
    </xf>
    <xf numFmtId="0" fontId="5" fillId="0" borderId="0" xfId="5" applyFont="1" applyAlignment="1" applyProtection="1">
      <alignment horizontal="left"/>
      <protection hidden="1"/>
    </xf>
    <xf numFmtId="0" fontId="5" fillId="0" borderId="0" xfId="5" applyFont="1" applyFill="1" applyAlignment="1" applyProtection="1">
      <alignment horizontal="left" indent="3"/>
      <protection hidden="1"/>
    </xf>
    <xf numFmtId="49" fontId="5" fillId="0" borderId="0" xfId="1" applyNumberFormat="1" applyFont="1" applyFill="1"/>
    <xf numFmtId="2" fontId="5" fillId="0" borderId="0" xfId="3" applyNumberFormat="1" applyFont="1" applyFill="1"/>
    <xf numFmtId="0" fontId="21" fillId="0" borderId="0" xfId="1" applyFont="1" applyFill="1" applyBorder="1" applyAlignment="1">
      <alignment horizontal="center"/>
    </xf>
    <xf numFmtId="2" fontId="21" fillId="0" borderId="0" xfId="1" applyNumberFormat="1" applyFont="1" applyFill="1" applyBorder="1" applyAlignment="1">
      <alignment horizontal="center"/>
    </xf>
    <xf numFmtId="2" fontId="22" fillId="0" borderId="0" xfId="2" applyNumberFormat="1" applyFont="1" applyBorder="1" applyAlignment="1">
      <alignment horizontal="center"/>
    </xf>
    <xf numFmtId="2" fontId="5" fillId="3" borderId="2" xfId="2" applyNumberFormat="1" applyFont="1" applyFill="1" applyBorder="1" applyAlignment="1">
      <alignment horizontal="center" vertical="center" wrapText="1"/>
    </xf>
    <xf numFmtId="0" fontId="0" fillId="0" borderId="0" xfId="4" applyFont="1" applyProtection="1"/>
    <xf numFmtId="0" fontId="5" fillId="0" borderId="2" xfId="4" applyFont="1" applyFill="1" applyBorder="1" applyAlignment="1" applyProtection="1">
      <alignment wrapText="1"/>
    </xf>
    <xf numFmtId="0" fontId="3" fillId="3" borderId="0" xfId="4" applyFont="1" applyFill="1" applyProtection="1"/>
    <xf numFmtId="0" fontId="4" fillId="3" borderId="2" xfId="4" applyFont="1" applyFill="1" applyBorder="1" applyAlignment="1" applyProtection="1">
      <alignment horizontal="left" vertical="center" wrapText="1"/>
    </xf>
    <xf numFmtId="0" fontId="5" fillId="0" borderId="2" xfId="4" applyFont="1" applyFill="1" applyBorder="1" applyProtection="1"/>
    <xf numFmtId="0" fontId="4" fillId="3" borderId="2" xfId="4" applyFont="1" applyFill="1" applyBorder="1" applyAlignment="1" applyProtection="1">
      <alignment wrapText="1"/>
    </xf>
    <xf numFmtId="0" fontId="5" fillId="0" borderId="2" xfId="4" applyFont="1" applyFill="1" applyBorder="1" applyAlignment="1" applyProtection="1">
      <alignment horizontal="center" wrapText="1"/>
    </xf>
    <xf numFmtId="0" fontId="0" fillId="0" borderId="0" xfId="4" applyFont="1" applyAlignment="1" applyProtection="1">
      <alignment horizontal="center"/>
    </xf>
    <xf numFmtId="0" fontId="0" fillId="0" borderId="0" xfId="8" applyFont="1" applyFill="1"/>
    <xf numFmtId="2" fontId="0" fillId="0" borderId="0" xfId="8" applyNumberFormat="1" applyFont="1" applyFill="1"/>
    <xf numFmtId="0" fontId="0" fillId="0" borderId="0" xfId="8" applyFont="1" applyFill="1" applyAlignment="1">
      <alignment horizontal="center"/>
    </xf>
    <xf numFmtId="0" fontId="24" fillId="0" borderId="0" xfId="8" applyFont="1" applyFill="1"/>
    <xf numFmtId="2" fontId="24" fillId="0" borderId="0" xfId="8" applyNumberFormat="1" applyFont="1" applyFill="1"/>
    <xf numFmtId="0" fontId="24" fillId="0" borderId="0" xfId="8" applyFont="1" applyFill="1" applyAlignment="1">
      <alignment horizontal="center"/>
    </xf>
    <xf numFmtId="0" fontId="25" fillId="0" borderId="0" xfId="8" applyFont="1" applyFill="1"/>
    <xf numFmtId="0" fontId="24" fillId="0" borderId="0" xfId="5" applyFont="1" applyFill="1" applyAlignment="1" applyProtection="1">
      <alignment horizontal="left"/>
      <protection hidden="1"/>
    </xf>
    <xf numFmtId="0" fontId="24" fillId="0" borderId="0" xfId="5" applyFont="1" applyFill="1" applyProtection="1">
      <protection hidden="1"/>
    </xf>
    <xf numFmtId="0" fontId="26" fillId="0" borderId="0" xfId="8" applyFont="1" applyFill="1"/>
    <xf numFmtId="2" fontId="5" fillId="0" borderId="0" xfId="8" applyNumberFormat="1" applyFont="1" applyFill="1"/>
    <xf numFmtId="0" fontId="5" fillId="0" borderId="0" xfId="8" applyFont="1" applyFill="1" applyAlignment="1">
      <alignment horizontal="center"/>
    </xf>
    <xf numFmtId="0" fontId="5" fillId="0" borderId="0" xfId="5" applyFont="1" applyFill="1" applyProtection="1">
      <protection hidden="1"/>
    </xf>
    <xf numFmtId="0" fontId="24" fillId="0" borderId="0" xfId="8" applyFont="1" applyFill="1" applyAlignment="1">
      <alignment horizontal="right"/>
    </xf>
    <xf numFmtId="0" fontId="4" fillId="0" borderId="0" xfId="5" applyFont="1" applyFill="1" applyBorder="1" applyAlignment="1" applyProtection="1">
      <alignment horizontal="left"/>
      <protection hidden="1"/>
    </xf>
    <xf numFmtId="0" fontId="24" fillId="0" borderId="0" xfId="5" applyFont="1" applyFill="1" applyAlignment="1" applyProtection="1">
      <alignment horizontal="center"/>
      <protection hidden="1"/>
    </xf>
    <xf numFmtId="0" fontId="24" fillId="0" borderId="0" xfId="5" applyFont="1" applyFill="1" applyAlignment="1" applyProtection="1">
      <alignment horizontal="left" indent="3"/>
      <protection hidden="1"/>
    </xf>
    <xf numFmtId="0" fontId="15" fillId="0" borderId="0" xfId="8" applyFont="1" applyFill="1"/>
    <xf numFmtId="0" fontId="9" fillId="0" borderId="2" xfId="22" applyFont="1" applyFill="1" applyBorder="1" applyAlignment="1">
      <alignment horizontal="center"/>
    </xf>
    <xf numFmtId="0" fontId="24" fillId="0" borderId="2" xfId="8" applyFont="1" applyFill="1" applyBorder="1" applyAlignment="1">
      <alignment horizontal="center" vertical="center"/>
    </xf>
    <xf numFmtId="2" fontId="24" fillId="0" borderId="2" xfId="8" applyNumberFormat="1" applyFont="1" applyFill="1" applyBorder="1" applyAlignment="1">
      <alignment horizontal="center" vertical="center"/>
    </xf>
    <xf numFmtId="0" fontId="24" fillId="0" borderId="2" xfId="8" applyFont="1" applyFill="1" applyBorder="1" applyAlignment="1">
      <alignment horizontal="center" vertical="center" wrapText="1"/>
    </xf>
    <xf numFmtId="0" fontId="24" fillId="0" borderId="2" xfId="8" applyFont="1" applyFill="1" applyBorder="1" applyAlignment="1">
      <alignment horizontal="left" vertical="center" wrapText="1"/>
    </xf>
    <xf numFmtId="0" fontId="24" fillId="0" borderId="2" xfId="8" applyFont="1" applyFill="1" applyBorder="1" applyAlignment="1">
      <alignment horizontal="center"/>
    </xf>
    <xf numFmtId="1" fontId="24" fillId="0" borderId="2" xfId="8" applyNumberFormat="1" applyFont="1" applyFill="1" applyBorder="1" applyAlignment="1">
      <alignment horizontal="center" vertical="center"/>
    </xf>
    <xf numFmtId="0" fontId="0" fillId="0" borderId="0" xfId="8" applyFont="1" applyFill="1" applyAlignment="1">
      <alignment wrapText="1"/>
    </xf>
    <xf numFmtId="2" fontId="24" fillId="0" borderId="2" xfId="8" applyNumberFormat="1" applyFont="1" applyFill="1" applyBorder="1" applyAlignment="1">
      <alignment horizontal="center" vertical="center" wrapText="1"/>
    </xf>
    <xf numFmtId="0" fontId="5" fillId="4" borderId="2" xfId="20" applyFont="1" applyFill="1" applyBorder="1" applyAlignment="1">
      <alignment horizontal="center" vertical="center"/>
    </xf>
    <xf numFmtId="170" fontId="5" fillId="0" borderId="2" xfId="20" applyNumberFormat="1" applyFont="1" applyFill="1" applyBorder="1" applyAlignment="1">
      <alignment horizontal="center" vertical="center"/>
    </xf>
    <xf numFmtId="170" fontId="5" fillId="0" borderId="7" xfId="20" applyNumberFormat="1" applyFont="1" applyFill="1" applyBorder="1" applyAlignment="1">
      <alignment horizontal="center" vertical="center"/>
    </xf>
    <xf numFmtId="1" fontId="5" fillId="0" borderId="2" xfId="20" applyNumberFormat="1" applyFont="1" applyFill="1" applyBorder="1" applyAlignment="1">
      <alignment horizontal="center" vertical="center"/>
    </xf>
    <xf numFmtId="0" fontId="24" fillId="0" borderId="0" xfId="4" applyFont="1" applyProtection="1"/>
    <xf numFmtId="0" fontId="9" fillId="0" borderId="0" xfId="4" applyFont="1" applyAlignment="1"/>
    <xf numFmtId="0" fontId="9" fillId="0" borderId="0" xfId="4" applyFont="1" applyAlignment="1">
      <alignment horizontal="left" vertical="top" wrapText="1"/>
    </xf>
    <xf numFmtId="0" fontId="13" fillId="0" borderId="0" xfId="4" applyFont="1" applyBorder="1" applyAlignment="1">
      <alignment horizontal="left" vertical="top" wrapText="1"/>
    </xf>
    <xf numFmtId="0" fontId="9" fillId="0" borderId="0" xfId="4" applyFont="1" applyAlignment="1">
      <alignment horizontal="center" vertical="top" wrapText="1"/>
    </xf>
    <xf numFmtId="0" fontId="13" fillId="0" borderId="3" xfId="4" applyFont="1" applyFill="1" applyBorder="1" applyAlignment="1" applyProtection="1">
      <alignment horizontal="left" vertical="center" wrapText="1"/>
    </xf>
    <xf numFmtId="0" fontId="13" fillId="0" borderId="2" xfId="4" applyFont="1" applyFill="1" applyBorder="1" applyAlignment="1" applyProtection="1">
      <alignment horizontal="left" vertical="center"/>
    </xf>
    <xf numFmtId="0" fontId="9" fillId="0" borderId="13" xfId="4" applyFont="1" applyFill="1" applyBorder="1" applyAlignment="1" applyProtection="1">
      <alignment horizontal="center" vertical="center"/>
    </xf>
    <xf numFmtId="1" fontId="9" fillId="0" borderId="10" xfId="4" applyNumberFormat="1" applyFont="1" applyFill="1" applyBorder="1" applyAlignment="1" applyProtection="1">
      <alignment horizontal="center" vertical="center"/>
      <protection locked="0"/>
    </xf>
    <xf numFmtId="0" fontId="9" fillId="0" borderId="10" xfId="4" applyFont="1" applyFill="1" applyBorder="1" applyAlignment="1" applyProtection="1">
      <alignment horizontal="center" vertical="center"/>
    </xf>
    <xf numFmtId="0" fontId="9" fillId="0" borderId="10" xfId="4" applyFont="1" applyFill="1" applyBorder="1" applyAlignment="1" applyProtection="1">
      <alignment horizontal="center" vertical="center"/>
      <protection locked="0"/>
    </xf>
    <xf numFmtId="0" fontId="9" fillId="0" borderId="9" xfId="4" applyFont="1" applyFill="1" applyBorder="1" applyAlignment="1" applyProtection="1">
      <alignment horizontal="center" vertical="center"/>
    </xf>
    <xf numFmtId="0" fontId="0" fillId="0" borderId="0" xfId="4" applyFont="1" applyAlignment="1" applyProtection="1">
      <alignment horizontal="center" vertical="center"/>
    </xf>
    <xf numFmtId="0" fontId="0" fillId="0" borderId="0" xfId="4" applyFont="1" applyFill="1" applyAlignment="1" applyProtection="1">
      <alignment horizontal="center" vertical="center"/>
    </xf>
    <xf numFmtId="0" fontId="13" fillId="0" borderId="0" xfId="5" applyFont="1" applyBorder="1" applyAlignment="1" applyProtection="1">
      <alignment horizontal="left"/>
      <protection hidden="1"/>
    </xf>
    <xf numFmtId="0" fontId="24" fillId="0" borderId="0" xfId="4" applyFont="1" applyAlignment="1">
      <alignment horizontal="center" vertical="center" wrapText="1"/>
    </xf>
    <xf numFmtId="0" fontId="9" fillId="0" borderId="0" xfId="4" applyFont="1" applyAlignment="1">
      <alignment horizontal="center"/>
    </xf>
    <xf numFmtId="0" fontId="9" fillId="0" borderId="0" xfId="5" applyFont="1" applyProtection="1">
      <protection hidden="1"/>
    </xf>
    <xf numFmtId="0" fontId="0" fillId="0" borderId="0" xfId="4" applyFont="1" applyAlignment="1">
      <alignment horizontal="center" vertical="center" wrapText="1"/>
    </xf>
    <xf numFmtId="0" fontId="9" fillId="0" borderId="0" xfId="5" applyFont="1" applyAlignment="1" applyProtection="1">
      <alignment horizontal="left"/>
      <protection hidden="1"/>
    </xf>
    <xf numFmtId="0" fontId="9" fillId="0" borderId="0" xfId="5" applyFont="1" applyAlignment="1" applyProtection="1">
      <protection hidden="1"/>
    </xf>
    <xf numFmtId="167" fontId="5" fillId="0" borderId="2" xfId="2" applyNumberFormat="1" applyFont="1" applyFill="1" applyBorder="1" applyAlignment="1">
      <alignment horizontal="center" vertical="center" wrapText="1"/>
    </xf>
    <xf numFmtId="0" fontId="5" fillId="0" borderId="2" xfId="2" applyFont="1" applyFill="1" applyBorder="1" applyAlignment="1">
      <alignment vertical="center" wrapText="1"/>
    </xf>
    <xf numFmtId="0" fontId="8" fillId="0" borderId="2" xfId="0" applyFont="1" applyFill="1" applyBorder="1" applyAlignment="1">
      <alignment horizontal="right" vertical="center" wrapText="1"/>
    </xf>
    <xf numFmtId="0" fontId="4" fillId="0" borderId="0" xfId="2" applyFont="1" applyAlignment="1">
      <alignment horizontal="center" vertical="center"/>
    </xf>
    <xf numFmtId="0" fontId="12" fillId="0" borderId="2" xfId="0" applyFont="1" applyFill="1" applyBorder="1" applyAlignment="1">
      <alignment horizontal="center" vertical="center" wrapText="1"/>
    </xf>
    <xf numFmtId="170" fontId="5" fillId="0" borderId="0" xfId="3" applyNumberFormat="1" applyFont="1" applyFill="1"/>
    <xf numFmtId="0" fontId="12" fillId="0" borderId="0" xfId="4" applyFont="1" applyProtection="1"/>
    <xf numFmtId="0" fontId="12" fillId="0" borderId="2" xfId="4" applyFont="1" applyBorder="1" applyAlignment="1" applyProtection="1">
      <alignment horizontal="center"/>
    </xf>
    <xf numFmtId="0" fontId="12" fillId="0" borderId="2" xfId="4" applyFont="1" applyBorder="1" applyAlignment="1" applyProtection="1">
      <alignment horizontal="center" vertical="center"/>
    </xf>
    <xf numFmtId="2" fontId="22" fillId="0" borderId="0" xfId="4" applyNumberFormat="1" applyFont="1" applyBorder="1" applyProtection="1"/>
    <xf numFmtId="2" fontId="22" fillId="0" borderId="0" xfId="0" applyNumberFormat="1" applyFont="1" applyAlignment="1">
      <alignment horizontal="center"/>
    </xf>
    <xf numFmtId="2" fontId="5" fillId="0" borderId="0" xfId="1" applyNumberFormat="1" applyFont="1" applyAlignment="1">
      <alignment horizontal="center" vertical="center" wrapText="1"/>
    </xf>
    <xf numFmtId="165" fontId="5" fillId="0" borderId="0" xfId="1" applyNumberFormat="1" applyFont="1" applyAlignment="1">
      <alignment vertical="center" wrapText="1"/>
    </xf>
    <xf numFmtId="0" fontId="5" fillId="0" borderId="0" xfId="1" applyFont="1" applyAlignment="1">
      <alignment vertical="center" wrapText="1"/>
    </xf>
    <xf numFmtId="167" fontId="22" fillId="0" borderId="2" xfId="1" applyNumberFormat="1" applyFont="1" applyFill="1" applyBorder="1" applyAlignment="1">
      <alignment horizontal="center" vertical="center"/>
    </xf>
    <xf numFmtId="172" fontId="5" fillId="0" borderId="0" xfId="5" applyNumberFormat="1" applyFont="1" applyAlignment="1" applyProtection="1">
      <alignment vertical="center"/>
      <protection hidden="1"/>
    </xf>
    <xf numFmtId="1" fontId="5" fillId="0" borderId="2" xfId="2" applyNumberFormat="1" applyFont="1" applyFill="1" applyBorder="1" applyAlignment="1">
      <alignment horizontal="center" vertical="center" wrapText="1"/>
    </xf>
    <xf numFmtId="0" fontId="5" fillId="0" borderId="0" xfId="1" applyFont="1" applyAlignment="1">
      <alignment horizontal="center" vertical="center" wrapText="1"/>
    </xf>
    <xf numFmtId="0" fontId="4" fillId="0" borderId="2" xfId="1" applyFont="1" applyFill="1" applyBorder="1" applyAlignment="1">
      <alignment horizontal="left" vertical="center"/>
    </xf>
    <xf numFmtId="0" fontId="6" fillId="0" borderId="2" xfId="1" applyFont="1" applyFill="1" applyBorder="1" applyAlignment="1">
      <alignment horizontal="center" vertical="center" wrapText="1"/>
    </xf>
    <xf numFmtId="0" fontId="4" fillId="0" borderId="2" xfId="1" applyFont="1" applyFill="1" applyBorder="1" applyAlignment="1">
      <alignment horizontal="center" vertical="center" wrapText="1"/>
    </xf>
    <xf numFmtId="167" fontId="4" fillId="0" borderId="2" xfId="1" applyNumberFormat="1" applyFont="1" applyFill="1" applyBorder="1" applyAlignment="1">
      <alignment horizontal="center" vertical="center"/>
    </xf>
    <xf numFmtId="0" fontId="5" fillId="0" borderId="2" xfId="1" applyFont="1" applyFill="1" applyBorder="1" applyAlignment="1">
      <alignment horizontal="center" vertical="center" wrapText="1"/>
    </xf>
    <xf numFmtId="0" fontId="5" fillId="0" borderId="3" xfId="1" applyFont="1" applyFill="1" applyBorder="1" applyAlignment="1">
      <alignment horizontal="center" vertical="center" wrapText="1"/>
    </xf>
    <xf numFmtId="167" fontId="5" fillId="0" borderId="0" xfId="1" applyNumberFormat="1" applyFont="1" applyFill="1"/>
    <xf numFmtId="0" fontId="6" fillId="2" borderId="2" xfId="1" applyFont="1" applyFill="1" applyBorder="1" applyAlignment="1">
      <alignment horizontal="center"/>
    </xf>
    <xf numFmtId="173" fontId="5" fillId="0" borderId="0" xfId="1" applyNumberFormat="1" applyFont="1" applyFill="1" applyAlignment="1">
      <alignment horizontal="center" vertical="center" wrapText="1"/>
    </xf>
    <xf numFmtId="172" fontId="32" fillId="0" borderId="0" xfId="24" applyNumberFormat="1" applyFont="1" applyBorder="1" applyAlignment="1" applyProtection="1">
      <alignment horizontal="center"/>
      <protection locked="0"/>
    </xf>
    <xf numFmtId="172" fontId="13" fillId="3" borderId="2" xfId="25" applyNumberFormat="1" applyFont="1" applyFill="1" applyBorder="1" applyAlignment="1">
      <alignment horizontal="center" vertical="center" wrapText="1"/>
    </xf>
    <xf numFmtId="172" fontId="9" fillId="0" borderId="2" xfId="25" applyNumberFormat="1" applyFont="1" applyBorder="1" applyAlignment="1">
      <alignment horizontal="center" vertical="center" wrapText="1"/>
    </xf>
    <xf numFmtId="172" fontId="31" fillId="0" borderId="2" xfId="0" applyNumberFormat="1" applyFont="1" applyBorder="1" applyAlignment="1">
      <alignment horizontal="center" vertical="center"/>
    </xf>
    <xf numFmtId="0" fontId="22" fillId="0" borderId="0" xfId="2" applyFont="1" applyBorder="1" applyAlignment="1">
      <alignment horizontal="center"/>
    </xf>
    <xf numFmtId="2" fontId="8" fillId="0" borderId="2" xfId="2" applyNumberFormat="1" applyFont="1" applyFill="1" applyBorder="1" applyAlignment="1">
      <alignment horizontal="center" vertical="center" wrapText="1"/>
    </xf>
    <xf numFmtId="0" fontId="6" fillId="0" borderId="6" xfId="1" applyFont="1" applyFill="1" applyBorder="1" applyAlignment="1">
      <alignment horizontal="center"/>
    </xf>
    <xf numFmtId="9" fontId="5" fillId="0" borderId="0" xfId="26" applyFont="1" applyFill="1" applyAlignment="1">
      <alignment horizontal="center" vertical="center" wrapText="1"/>
    </xf>
    <xf numFmtId="0" fontId="13" fillId="3" borderId="2" xfId="0" applyFont="1" applyFill="1" applyBorder="1" applyAlignment="1">
      <alignment vertical="center" wrapText="1"/>
    </xf>
    <xf numFmtId="0" fontId="34" fillId="0" borderId="2" xfId="0" applyFont="1" applyBorder="1" applyAlignment="1">
      <alignment vertical="center" wrapText="1"/>
    </xf>
    <xf numFmtId="0" fontId="9" fillId="0" borderId="2" xfId="0" applyFont="1" applyBorder="1" applyAlignment="1">
      <alignment vertical="center" wrapText="1"/>
    </xf>
    <xf numFmtId="0" fontId="5" fillId="0" borderId="2"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7" fillId="0" borderId="6" xfId="2" applyFont="1" applyFill="1" applyBorder="1" applyAlignment="1">
      <alignment horizontal="center" vertical="center" wrapText="1"/>
    </xf>
    <xf numFmtId="0" fontId="6" fillId="0" borderId="6" xfId="1" applyFont="1" applyFill="1" applyBorder="1" applyAlignment="1">
      <alignment horizontal="center" vertical="center" wrapText="1"/>
    </xf>
    <xf numFmtId="0" fontId="4" fillId="0" borderId="2" xfId="1" applyFont="1" applyFill="1" applyBorder="1" applyAlignment="1">
      <alignment horizontal="left" vertical="center"/>
    </xf>
    <xf numFmtId="0" fontId="8" fillId="0" borderId="6" xfId="2" applyFont="1" applyFill="1" applyBorder="1" applyAlignment="1">
      <alignment horizontal="center" vertical="center" wrapText="1"/>
    </xf>
    <xf numFmtId="0" fontId="4" fillId="0" borderId="2" xfId="1" applyFont="1" applyFill="1" applyBorder="1" applyAlignment="1">
      <alignment horizontal="center" vertical="center" wrapText="1"/>
    </xf>
    <xf numFmtId="167" fontId="4" fillId="0" borderId="2" xfId="1" applyNumberFormat="1" applyFont="1" applyFill="1" applyBorder="1" applyAlignment="1">
      <alignment horizontal="center" vertical="center"/>
    </xf>
    <xf numFmtId="0" fontId="6" fillId="0" borderId="2" xfId="1" applyFont="1" applyFill="1" applyBorder="1" applyAlignment="1">
      <alignment horizontal="center" vertical="center" wrapText="1"/>
    </xf>
    <xf numFmtId="0" fontId="12" fillId="5" borderId="2" xfId="0" applyFont="1" applyFill="1" applyBorder="1" applyAlignment="1">
      <alignment horizontal="center" vertical="center"/>
    </xf>
    <xf numFmtId="0" fontId="12" fillId="0" borderId="2" xfId="0" applyFont="1" applyBorder="1" applyAlignment="1">
      <alignment horizontal="center" vertical="center"/>
    </xf>
    <xf numFmtId="0" fontId="30" fillId="0" borderId="2" xfId="0" applyFont="1" applyBorder="1" applyAlignment="1">
      <alignment horizontal="center" vertical="center"/>
    </xf>
    <xf numFmtId="0" fontId="12" fillId="6" borderId="2" xfId="0" applyFont="1" applyFill="1" applyBorder="1" applyAlignment="1">
      <alignment horizontal="center" vertical="center"/>
    </xf>
    <xf numFmtId="0" fontId="29" fillId="5" borderId="2" xfId="0" applyFont="1" applyFill="1" applyBorder="1" applyAlignment="1">
      <alignment horizontal="center" vertical="center"/>
    </xf>
    <xf numFmtId="0" fontId="30" fillId="0" borderId="2" xfId="0" applyFont="1" applyFill="1" applyBorder="1" applyAlignment="1">
      <alignment horizontal="center" vertical="center" wrapText="1"/>
    </xf>
    <xf numFmtId="0" fontId="9" fillId="0" borderId="0" xfId="4" applyFont="1" applyFill="1" applyProtection="1"/>
    <xf numFmtId="0" fontId="31" fillId="0" borderId="0" xfId="4" applyFont="1" applyProtection="1"/>
    <xf numFmtId="0" fontId="5" fillId="0" borderId="2" xfId="0" applyFont="1" applyFill="1" applyBorder="1" applyAlignment="1">
      <alignment horizontal="right" vertical="center" wrapText="1"/>
    </xf>
    <xf numFmtId="0" fontId="6" fillId="3" borderId="2" xfId="2" applyFont="1" applyFill="1" applyBorder="1" applyAlignment="1">
      <alignment horizontal="center" vertical="center" wrapText="1"/>
    </xf>
    <xf numFmtId="0" fontId="4" fillId="3" borderId="2" xfId="2" applyFont="1" applyFill="1" applyBorder="1" applyAlignment="1">
      <alignment horizontal="center" vertical="center" wrapText="1"/>
    </xf>
    <xf numFmtId="2" fontId="7" fillId="3" borderId="2" xfId="2" applyNumberFormat="1" applyFont="1" applyFill="1" applyBorder="1" applyAlignment="1">
      <alignment horizontal="center" vertical="center" wrapText="1"/>
    </xf>
    <xf numFmtId="172" fontId="13" fillId="3" borderId="0" xfId="25" applyNumberFormat="1" applyFont="1" applyFill="1" applyBorder="1" applyAlignment="1">
      <alignment horizontal="center" vertical="center" wrapText="1"/>
    </xf>
    <xf numFmtId="172" fontId="5" fillId="0" borderId="0" xfId="1" applyNumberFormat="1" applyFont="1" applyFill="1" applyBorder="1" applyAlignment="1">
      <alignment horizontal="center" vertical="center" wrapText="1"/>
    </xf>
    <xf numFmtId="0" fontId="5" fillId="2" borderId="2" xfId="1" applyFont="1" applyFill="1" applyBorder="1" applyAlignment="1">
      <alignment horizontal="center" vertical="center" wrapText="1"/>
    </xf>
    <xf numFmtId="2" fontId="6" fillId="2" borderId="2" xfId="1" applyNumberFormat="1" applyFont="1" applyFill="1" applyBorder="1" applyAlignment="1">
      <alignment horizontal="center"/>
    </xf>
    <xf numFmtId="170" fontId="6" fillId="2" borderId="2" xfId="1" applyNumberFormat="1" applyFont="1" applyFill="1" applyBorder="1" applyAlignment="1">
      <alignment horizontal="center"/>
    </xf>
    <xf numFmtId="0" fontId="5" fillId="0" borderId="2" xfId="4" applyFont="1" applyFill="1" applyBorder="1" applyAlignment="1" applyProtection="1">
      <alignment horizontal="center" vertical="center" wrapText="1"/>
      <protection locked="0"/>
    </xf>
    <xf numFmtId="167" fontId="4" fillId="0" borderId="2" xfId="1" applyNumberFormat="1" applyFont="1" applyFill="1" applyBorder="1" applyAlignment="1">
      <alignment horizontal="center" vertical="center"/>
    </xf>
    <xf numFmtId="0" fontId="12" fillId="0" borderId="2" xfId="0" applyFont="1" applyFill="1" applyBorder="1" applyAlignment="1">
      <alignment horizontal="center" vertical="center"/>
    </xf>
    <xf numFmtId="0" fontId="30" fillId="0" borderId="2" xfId="0" applyFont="1" applyFill="1" applyBorder="1" applyAlignment="1">
      <alignment horizontal="center" vertical="center"/>
    </xf>
    <xf numFmtId="0" fontId="5" fillId="0" borderId="18" xfId="4" applyFont="1" applyFill="1" applyBorder="1" applyAlignment="1" applyProtection="1">
      <alignment horizontal="center" vertical="center" wrapText="1"/>
      <protection locked="0"/>
    </xf>
    <xf numFmtId="0" fontId="5" fillId="0" borderId="17" xfId="4" applyFont="1" applyFill="1" applyBorder="1" applyAlignment="1" applyProtection="1">
      <alignment horizontal="center" wrapText="1"/>
    </xf>
    <xf numFmtId="0" fontId="12" fillId="0" borderId="18" xfId="4" applyFont="1" applyBorder="1" applyAlignment="1" applyProtection="1">
      <alignment horizontal="center" vertical="center"/>
    </xf>
    <xf numFmtId="0" fontId="12" fillId="5" borderId="18" xfId="0" applyFont="1" applyFill="1" applyBorder="1" applyAlignment="1">
      <alignment horizontal="center" vertical="center"/>
    </xf>
    <xf numFmtId="0" fontId="12" fillId="0" borderId="18" xfId="0" applyFont="1" applyBorder="1" applyAlignment="1">
      <alignment horizontal="center" vertical="center"/>
    </xf>
    <xf numFmtId="0" fontId="30" fillId="0" borderId="18" xfId="0" applyFont="1" applyBorder="1" applyAlignment="1">
      <alignment horizontal="center" vertical="center"/>
    </xf>
    <xf numFmtId="0" fontId="12" fillId="6" borderId="18" xfId="0" applyFont="1" applyFill="1" applyBorder="1" applyAlignment="1">
      <alignment horizontal="center" vertical="center"/>
    </xf>
    <xf numFmtId="0" fontId="29" fillId="5" borderId="18" xfId="0" applyFont="1" applyFill="1" applyBorder="1" applyAlignment="1">
      <alignment horizontal="center" vertical="center"/>
    </xf>
    <xf numFmtId="0" fontId="12" fillId="0" borderId="18" xfId="0" applyFont="1" applyFill="1" applyBorder="1" applyAlignment="1">
      <alignment horizontal="center" vertical="center"/>
    </xf>
    <xf numFmtId="0" fontId="30" fillId="0" borderId="18" xfId="0" applyFont="1" applyFill="1" applyBorder="1" applyAlignment="1">
      <alignment horizontal="center" vertical="center"/>
    </xf>
    <xf numFmtId="0" fontId="5" fillId="0" borderId="20" xfId="4" applyFont="1" applyFill="1" applyBorder="1" applyAlignment="1" applyProtection="1">
      <alignment wrapText="1"/>
    </xf>
    <xf numFmtId="0" fontId="12" fillId="0" borderId="20" xfId="0" applyFont="1" applyBorder="1" applyAlignment="1">
      <alignment horizontal="center" vertical="center"/>
    </xf>
    <xf numFmtId="0" fontId="30" fillId="0" borderId="20" xfId="0" applyFont="1" applyBorder="1" applyAlignment="1">
      <alignment horizontal="center" vertical="center"/>
    </xf>
    <xf numFmtId="0" fontId="30" fillId="0" borderId="21" xfId="0" applyFont="1" applyBorder="1" applyAlignment="1">
      <alignment horizontal="center" vertical="center"/>
    </xf>
    <xf numFmtId="1" fontId="6" fillId="2" borderId="2" xfId="1" applyNumberFormat="1" applyFont="1" applyFill="1" applyBorder="1" applyAlignment="1">
      <alignment horizontal="center"/>
    </xf>
    <xf numFmtId="0" fontId="33" fillId="0" borderId="25" xfId="0" applyFont="1" applyBorder="1" applyAlignment="1">
      <alignment horizontal="center" vertical="center"/>
    </xf>
    <xf numFmtId="0" fontId="33" fillId="0" borderId="26" xfId="0" applyFont="1" applyBorder="1" applyAlignment="1">
      <alignment vertical="center"/>
    </xf>
    <xf numFmtId="0" fontId="33" fillId="0" borderId="26" xfId="0" applyFont="1" applyBorder="1" applyAlignment="1">
      <alignment horizontal="right" vertical="center"/>
    </xf>
    <xf numFmtId="0" fontId="33" fillId="5" borderId="26" xfId="0" applyFont="1" applyFill="1" applyBorder="1" applyAlignment="1">
      <alignment vertical="center"/>
    </xf>
    <xf numFmtId="0" fontId="33" fillId="5" borderId="26" xfId="0" applyFont="1" applyFill="1" applyBorder="1" applyAlignment="1">
      <alignment horizontal="right" vertical="center"/>
    </xf>
    <xf numFmtId="49" fontId="13" fillId="0" borderId="0" xfId="4" applyNumberFormat="1" applyFont="1" applyBorder="1" applyAlignment="1" applyProtection="1">
      <alignment horizontal="center" vertical="center"/>
    </xf>
    <xf numFmtId="0" fontId="13" fillId="0" borderId="0" xfId="4" applyNumberFormat="1" applyFont="1" applyBorder="1" applyAlignment="1" applyProtection="1">
      <alignment horizontal="left" vertical="center" wrapText="1"/>
    </xf>
    <xf numFmtId="172" fontId="13" fillId="0" borderId="0" xfId="24" applyNumberFormat="1" applyFont="1" applyBorder="1" applyAlignment="1" applyProtection="1">
      <alignment horizontal="center"/>
      <protection locked="0"/>
    </xf>
    <xf numFmtId="0" fontId="31" fillId="0" borderId="0" xfId="4" applyFont="1" applyBorder="1" applyAlignment="1">
      <alignment horizontal="center" vertical="center"/>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172" fontId="9" fillId="0" borderId="15" xfId="25" applyNumberFormat="1" applyFont="1" applyBorder="1" applyAlignment="1" applyProtection="1">
      <alignment horizontal="center" vertical="center" wrapText="1"/>
      <protection locked="0"/>
    </xf>
    <xf numFmtId="1" fontId="9" fillId="0" borderId="15" xfId="4" applyNumberFormat="1" applyFont="1" applyBorder="1" applyAlignment="1" applyProtection="1">
      <alignment horizontal="center" vertical="center" wrapText="1"/>
      <protection locked="0"/>
    </xf>
    <xf numFmtId="1" fontId="9" fillId="0" borderId="27" xfId="4" applyNumberFormat="1" applyFont="1" applyBorder="1" applyAlignment="1" applyProtection="1">
      <alignment horizontal="center" vertical="center" wrapText="1"/>
      <protection locked="0"/>
    </xf>
    <xf numFmtId="0" fontId="13" fillId="0" borderId="17" xfId="0" applyFont="1" applyBorder="1" applyAlignment="1">
      <alignment horizontal="center" vertical="center" wrapText="1"/>
    </xf>
    <xf numFmtId="172" fontId="31" fillId="0" borderId="28" xfId="4" applyNumberFormat="1" applyFont="1" applyBorder="1"/>
    <xf numFmtId="0" fontId="34" fillId="0" borderId="17" xfId="0" applyFont="1" applyBorder="1" applyAlignment="1">
      <alignment horizontal="center" vertical="center" wrapText="1"/>
    </xf>
    <xf numFmtId="49" fontId="9" fillId="0" borderId="17" xfId="4" applyNumberFormat="1" applyFont="1" applyBorder="1" applyAlignment="1">
      <alignment horizontal="center" vertical="center"/>
    </xf>
    <xf numFmtId="49" fontId="13" fillId="0" borderId="19" xfId="4" applyNumberFormat="1" applyFont="1" applyBorder="1" applyAlignment="1" applyProtection="1">
      <alignment horizontal="center" vertical="center"/>
    </xf>
    <xf numFmtId="0" fontId="13" fillId="0" borderId="20" xfId="4" applyNumberFormat="1" applyFont="1" applyBorder="1" applyAlignment="1" applyProtection="1">
      <alignment horizontal="left" vertical="center" wrapText="1"/>
    </xf>
    <xf numFmtId="172" fontId="13" fillId="0" borderId="20" xfId="24" applyNumberFormat="1" applyFont="1" applyBorder="1" applyAlignment="1" applyProtection="1">
      <alignment horizontal="center"/>
      <protection locked="0"/>
    </xf>
    <xf numFmtId="0" fontId="31" fillId="0" borderId="21" xfId="4" applyFont="1" applyBorder="1" applyAlignment="1">
      <alignment horizontal="center" vertical="center"/>
    </xf>
    <xf numFmtId="1" fontId="9" fillId="0" borderId="32" xfId="4" applyNumberFormat="1" applyFont="1" applyBorder="1" applyAlignment="1" applyProtection="1">
      <alignment horizontal="center" vertical="center" wrapText="1"/>
      <protection locked="0"/>
    </xf>
    <xf numFmtId="172" fontId="31" fillId="0" borderId="33" xfId="4" applyNumberFormat="1" applyFont="1" applyBorder="1"/>
    <xf numFmtId="172" fontId="31" fillId="0" borderId="34" xfId="4" applyNumberFormat="1" applyFont="1" applyBorder="1"/>
    <xf numFmtId="0" fontId="5" fillId="0" borderId="0" xfId="1" applyFont="1" applyAlignment="1">
      <alignment horizontal="center" vertical="center" wrapText="1"/>
    </xf>
    <xf numFmtId="0" fontId="4" fillId="0" borderId="2" xfId="1" applyFont="1" applyFill="1" applyBorder="1" applyAlignment="1">
      <alignment horizontal="left" vertical="center"/>
    </xf>
    <xf numFmtId="0" fontId="4" fillId="0" borderId="2" xfId="1" applyFont="1" applyFill="1" applyBorder="1" applyAlignment="1">
      <alignment horizontal="center" vertical="center" wrapText="1"/>
    </xf>
    <xf numFmtId="167" fontId="4" fillId="0" borderId="2" xfId="1" applyNumberFormat="1" applyFont="1" applyFill="1" applyBorder="1" applyAlignment="1">
      <alignment horizontal="center" vertical="center"/>
    </xf>
    <xf numFmtId="0" fontId="6" fillId="0" borderId="2" xfId="1" applyFont="1" applyFill="1" applyBorder="1" applyAlignment="1">
      <alignment horizontal="center" vertical="center" wrapText="1"/>
    </xf>
    <xf numFmtId="0" fontId="5" fillId="0" borderId="2" xfId="1" applyFont="1" applyFill="1" applyBorder="1" applyAlignment="1">
      <alignment horizontal="center" vertical="center" wrapText="1"/>
    </xf>
    <xf numFmtId="0" fontId="4" fillId="0" borderId="2" xfId="20" applyFont="1" applyFill="1" applyBorder="1" applyAlignment="1">
      <alignment horizontal="center" vertical="center" wrapText="1"/>
    </xf>
    <xf numFmtId="0" fontId="4" fillId="0" borderId="7" xfId="20" applyFont="1" applyFill="1" applyBorder="1" applyAlignment="1">
      <alignment horizontal="center" vertical="center" wrapText="1"/>
    </xf>
    <xf numFmtId="0" fontId="4" fillId="0" borderId="2" xfId="20" applyFont="1" applyBorder="1" applyAlignment="1">
      <alignment horizontal="center" vertical="center" wrapText="1"/>
    </xf>
    <xf numFmtId="0" fontId="4" fillId="0" borderId="9" xfId="20" applyFont="1" applyFill="1" applyBorder="1" applyAlignment="1">
      <alignment horizontal="center" vertical="center" wrapText="1"/>
    </xf>
    <xf numFmtId="0" fontId="4" fillId="0" borderId="3" xfId="20" applyFont="1" applyFill="1" applyBorder="1" applyAlignment="1">
      <alignment horizontal="center" vertical="center" wrapText="1"/>
    </xf>
    <xf numFmtId="0" fontId="4" fillId="0" borderId="2" xfId="20" applyFont="1" applyBorder="1" applyAlignment="1">
      <alignment horizontal="left" vertical="center" wrapText="1"/>
    </xf>
    <xf numFmtId="0" fontId="8" fillId="0" borderId="0" xfId="12" applyFont="1" applyAlignment="1">
      <alignment horizontal="center"/>
    </xf>
    <xf numFmtId="0" fontId="5" fillId="0" borderId="2" xfId="20" applyFont="1" applyFill="1" applyBorder="1" applyAlignment="1">
      <alignment horizontal="center" vertical="center" wrapText="1"/>
    </xf>
    <xf numFmtId="170" fontId="5" fillId="4" borderId="2" xfId="20" applyNumberFormat="1" applyFont="1" applyFill="1" applyBorder="1" applyAlignment="1">
      <alignment horizontal="center" vertical="center"/>
    </xf>
    <xf numFmtId="0" fontId="5" fillId="0" borderId="2" xfId="12" applyFont="1" applyBorder="1" applyAlignment="1">
      <alignment horizontal="center"/>
    </xf>
    <xf numFmtId="0" fontId="5" fillId="0" borderId="0" xfId="12" applyFont="1" applyAlignment="1">
      <alignment horizontal="center"/>
    </xf>
    <xf numFmtId="0" fontId="5" fillId="0" borderId="0" xfId="12" applyFont="1" applyFill="1"/>
    <xf numFmtId="0" fontId="5" fillId="0" borderId="0" xfId="12" applyFont="1"/>
    <xf numFmtId="0" fontId="5" fillId="0" borderId="2" xfId="12" applyFont="1" applyFill="1" applyBorder="1"/>
    <xf numFmtId="0" fontId="5" fillId="0" borderId="2" xfId="12" applyFont="1" applyFill="1" applyBorder="1" applyAlignment="1">
      <alignment horizontal="center"/>
    </xf>
    <xf numFmtId="0" fontId="5" fillId="0" borderId="2" xfId="12" applyFont="1" applyFill="1" applyBorder="1" applyAlignment="1">
      <alignment horizontal="center" vertical="center"/>
    </xf>
    <xf numFmtId="170" fontId="5" fillId="0" borderId="2" xfId="12" applyNumberFormat="1" applyFont="1" applyFill="1" applyBorder="1" applyAlignment="1">
      <alignment horizontal="center" vertical="center"/>
    </xf>
    <xf numFmtId="0" fontId="5" fillId="0" borderId="0" xfId="12" applyFont="1" applyFill="1" applyAlignment="1">
      <alignment horizontal="center"/>
    </xf>
    <xf numFmtId="0" fontId="12" fillId="0" borderId="2" xfId="12" applyFont="1" applyBorder="1" applyAlignment="1">
      <alignment horizontal="center" vertical="center"/>
    </xf>
    <xf numFmtId="0" fontId="12" fillId="0" borderId="2" xfId="12" applyFont="1" applyBorder="1" applyAlignment="1">
      <alignment horizontal="center" vertical="center" wrapText="1"/>
    </xf>
    <xf numFmtId="0" fontId="12" fillId="0" borderId="2" xfId="12" applyFont="1" applyFill="1" applyBorder="1" applyAlignment="1">
      <alignment horizontal="center" vertical="center" wrapText="1"/>
    </xf>
    <xf numFmtId="0" fontId="5" fillId="4" borderId="2" xfId="4" applyFont="1" applyFill="1" applyBorder="1" applyAlignment="1">
      <alignment horizontal="left" vertical="center" wrapText="1"/>
    </xf>
    <xf numFmtId="0" fontId="5" fillId="4" borderId="2" xfId="4" applyFont="1" applyFill="1" applyBorder="1" applyAlignment="1">
      <alignment horizontal="center" vertical="center" wrapText="1"/>
    </xf>
    <xf numFmtId="0" fontId="5" fillId="0" borderId="2" xfId="12" applyFont="1" applyBorder="1" applyAlignment="1">
      <alignment horizontal="left" vertical="center" wrapText="1"/>
    </xf>
    <xf numFmtId="0" fontId="5" fillId="0" borderId="2" xfId="12" applyFont="1" applyBorder="1" applyAlignment="1">
      <alignment horizontal="center" vertical="center" wrapText="1"/>
    </xf>
    <xf numFmtId="0" fontId="8" fillId="0" borderId="8" xfId="12" applyFont="1" applyBorder="1" applyAlignment="1">
      <alignment vertical="center" wrapText="1"/>
    </xf>
    <xf numFmtId="0" fontId="8" fillId="0" borderId="2" xfId="12" applyFont="1" applyFill="1" applyBorder="1" applyAlignment="1">
      <alignment horizontal="center" vertical="center" wrapText="1"/>
    </xf>
    <xf numFmtId="0" fontId="8" fillId="0" borderId="2" xfId="12" applyFont="1" applyBorder="1" applyAlignment="1">
      <alignment vertical="center" wrapText="1"/>
    </xf>
    <xf numFmtId="0" fontId="8" fillId="0" borderId="2" xfId="12" applyFont="1" applyBorder="1" applyAlignment="1">
      <alignment horizontal="center" vertical="center" wrapText="1"/>
    </xf>
    <xf numFmtId="0" fontId="4" fillId="2" borderId="2" xfId="1" applyFont="1" applyFill="1" applyBorder="1" applyAlignment="1">
      <alignment horizontal="center"/>
    </xf>
    <xf numFmtId="0" fontId="5" fillId="0" borderId="2" xfId="12" applyFont="1" applyFill="1" applyBorder="1" applyAlignment="1">
      <alignment horizontal="center" vertical="center" wrapText="1"/>
    </xf>
    <xf numFmtId="0" fontId="6" fillId="0" borderId="2" xfId="12" applyFont="1" applyFill="1" applyBorder="1" applyAlignment="1">
      <alignment vertical="center" wrapText="1"/>
    </xf>
    <xf numFmtId="0" fontId="7" fillId="0" borderId="2" xfId="12" applyFont="1" applyFill="1" applyBorder="1" applyAlignment="1">
      <alignment horizontal="center" vertical="center" wrapText="1"/>
    </xf>
    <xf numFmtId="0" fontId="8" fillId="0" borderId="2" xfId="12" applyFont="1" applyFill="1" applyBorder="1" applyAlignment="1">
      <alignment horizontal="right" vertical="center" wrapText="1"/>
    </xf>
    <xf numFmtId="0" fontId="5" fillId="0" borderId="2" xfId="12" applyFont="1" applyFill="1" applyBorder="1" applyAlignment="1">
      <alignment horizontal="left" vertical="center" wrapText="1"/>
    </xf>
    <xf numFmtId="0" fontId="8" fillId="0" borderId="2" xfId="12" applyFont="1" applyFill="1" applyBorder="1" applyAlignment="1">
      <alignment vertical="center" wrapText="1"/>
    </xf>
    <xf numFmtId="0" fontId="5" fillId="0" borderId="2" xfId="12" applyFont="1" applyFill="1" applyBorder="1" applyAlignment="1">
      <alignment vertical="center" wrapText="1"/>
    </xf>
    <xf numFmtId="0" fontId="5" fillId="0" borderId="2" xfId="12" applyFont="1" applyFill="1" applyBorder="1" applyAlignment="1">
      <alignment horizontal="right" vertical="center" wrapText="1"/>
    </xf>
    <xf numFmtId="2" fontId="5" fillId="0" borderId="2" xfId="12" applyNumberFormat="1" applyFont="1" applyFill="1" applyBorder="1" applyAlignment="1">
      <alignment horizontal="center" vertical="center" wrapText="1"/>
    </xf>
    <xf numFmtId="0" fontId="37" fillId="0" borderId="2" xfId="1" applyFont="1" applyFill="1" applyBorder="1" applyAlignment="1">
      <alignment horizontal="center"/>
    </xf>
    <xf numFmtId="0" fontId="5" fillId="0" borderId="2" xfId="12" applyFont="1" applyFill="1" applyBorder="1" applyAlignment="1">
      <alignment vertical="center"/>
    </xf>
    <xf numFmtId="0" fontId="7" fillId="0" borderId="2" xfId="12" applyFont="1" applyFill="1" applyBorder="1" applyAlignment="1">
      <alignment horizontal="left" vertical="center" wrapText="1"/>
    </xf>
    <xf numFmtId="0" fontId="7" fillId="0" borderId="2" xfId="12" applyFont="1" applyBorder="1" applyAlignment="1">
      <alignment horizontal="center" vertical="center" wrapText="1"/>
    </xf>
    <xf numFmtId="0" fontId="8" fillId="0" borderId="2" xfId="12" applyFont="1" applyFill="1" applyBorder="1"/>
    <xf numFmtId="0" fontId="8" fillId="0" borderId="2" xfId="12" applyFont="1" applyFill="1" applyBorder="1" applyAlignment="1">
      <alignment horizontal="center"/>
    </xf>
    <xf numFmtId="0" fontId="34" fillId="0" borderId="2" xfId="12" applyFont="1" applyFill="1" applyBorder="1" applyAlignment="1">
      <alignment horizontal="left" vertical="top" wrapText="1"/>
    </xf>
    <xf numFmtId="166" fontId="5" fillId="0" borderId="2" xfId="12" applyNumberFormat="1" applyFont="1" applyFill="1" applyBorder="1" applyAlignment="1">
      <alignment horizontal="center" vertical="center" wrapText="1"/>
    </xf>
    <xf numFmtId="0" fontId="10" fillId="0" borderId="2" xfId="12" applyFont="1" applyFill="1" applyBorder="1"/>
    <xf numFmtId="0" fontId="4" fillId="0" borderId="2" xfId="12" applyFont="1" applyFill="1" applyBorder="1" applyAlignment="1">
      <alignment horizontal="center" vertical="center" wrapText="1"/>
    </xf>
    <xf numFmtId="0" fontId="38" fillId="0" borderId="2" xfId="12" applyFont="1" applyFill="1" applyBorder="1" applyAlignment="1">
      <alignment horizontal="left" vertical="top" wrapText="1"/>
    </xf>
    <xf numFmtId="166" fontId="4" fillId="0" borderId="2" xfId="12" applyNumberFormat="1" applyFont="1" applyFill="1" applyBorder="1" applyAlignment="1">
      <alignment horizontal="center" vertical="center" wrapText="1"/>
    </xf>
    <xf numFmtId="167" fontId="4" fillId="0" borderId="2" xfId="12" applyNumberFormat="1" applyFont="1" applyFill="1" applyBorder="1" applyAlignment="1">
      <alignment horizontal="center" vertical="center" wrapText="1"/>
    </xf>
    <xf numFmtId="2" fontId="4" fillId="0" borderId="2" xfId="12" applyNumberFormat="1" applyFont="1" applyBorder="1" applyAlignment="1">
      <alignment horizontal="center" vertical="center" wrapText="1"/>
    </xf>
    <xf numFmtId="167" fontId="4" fillId="0" borderId="2" xfId="12" applyNumberFormat="1" applyFont="1" applyBorder="1" applyAlignment="1">
      <alignment horizontal="center" vertical="center" wrapText="1"/>
    </xf>
    <xf numFmtId="0" fontId="39" fillId="0" borderId="2" xfId="12" applyFont="1" applyFill="1" applyBorder="1" applyAlignment="1">
      <alignment horizontal="center" vertical="center" wrapText="1"/>
    </xf>
    <xf numFmtId="2" fontId="8" fillId="0" borderId="2" xfId="12" applyNumberFormat="1" applyFont="1" applyFill="1" applyBorder="1" applyAlignment="1">
      <alignment horizontal="center" vertical="center" wrapText="1"/>
    </xf>
    <xf numFmtId="0" fontId="5" fillId="0" borderId="2" xfId="3" applyFont="1" applyFill="1" applyBorder="1" applyAlignment="1">
      <alignment horizontal="left" vertical="center" wrapText="1"/>
    </xf>
    <xf numFmtId="2" fontId="5" fillId="0" borderId="0" xfId="4" applyNumberFormat="1" applyFont="1" applyProtection="1"/>
    <xf numFmtId="0" fontId="8" fillId="0" borderId="26" xfId="0" applyFont="1" applyBorder="1" applyAlignment="1">
      <alignment horizontal="center" vertical="center" wrapText="1"/>
    </xf>
    <xf numFmtId="0" fontId="8" fillId="0" borderId="25" xfId="0" applyFont="1" applyBorder="1" applyAlignment="1">
      <alignment horizontal="center" vertical="center" wrapText="1"/>
    </xf>
    <xf numFmtId="0" fontId="41" fillId="0" borderId="26" xfId="0" applyFont="1" applyBorder="1" applyAlignment="1">
      <alignment horizontal="center" vertical="center"/>
    </xf>
    <xf numFmtId="0" fontId="10" fillId="5" borderId="26" xfId="0" applyFont="1" applyFill="1" applyBorder="1" applyAlignment="1">
      <alignment vertical="center" wrapText="1"/>
    </xf>
    <xf numFmtId="0" fontId="8" fillId="5" borderId="26" xfId="0" applyFont="1" applyFill="1" applyBorder="1" applyAlignment="1">
      <alignment horizontal="center" vertical="center"/>
    </xf>
    <xf numFmtId="0" fontId="8" fillId="0" borderId="26" xfId="0" applyFont="1" applyBorder="1" applyAlignment="1">
      <alignment vertical="center" wrapText="1"/>
    </xf>
    <xf numFmtId="0" fontId="8" fillId="0" borderId="26" xfId="0" applyFont="1" applyBorder="1" applyAlignment="1">
      <alignment horizontal="center" vertical="center"/>
    </xf>
    <xf numFmtId="0" fontId="42" fillId="0" borderId="26" xfId="0" applyFont="1" applyBorder="1" applyAlignment="1">
      <alignment vertical="center" wrapText="1"/>
    </xf>
    <xf numFmtId="0" fontId="8" fillId="0" borderId="26" xfId="0" applyFont="1" applyBorder="1" applyAlignment="1">
      <alignment vertical="center"/>
    </xf>
    <xf numFmtId="0" fontId="8" fillId="6" borderId="26" xfId="0" applyFont="1" applyFill="1" applyBorder="1" applyAlignment="1">
      <alignment horizontal="center" vertical="center"/>
    </xf>
    <xf numFmtId="0" fontId="43" fillId="0" borderId="26" xfId="0" applyFont="1" applyBorder="1" applyAlignment="1">
      <alignment horizontal="center" vertical="center"/>
    </xf>
    <xf numFmtId="0" fontId="10" fillId="5" borderId="26" xfId="0" applyFont="1" applyFill="1" applyBorder="1" applyAlignment="1">
      <alignment horizontal="center" vertical="center"/>
    </xf>
    <xf numFmtId="0" fontId="5" fillId="0" borderId="2" xfId="1" applyFont="1" applyFill="1" applyBorder="1" applyAlignment="1">
      <alignment horizontal="center" vertical="center" wrapText="1"/>
    </xf>
    <xf numFmtId="0" fontId="8" fillId="0" borderId="25" xfId="0" applyFont="1" applyBorder="1" applyAlignment="1">
      <alignment horizontal="center" vertical="center" wrapText="1"/>
    </xf>
    <xf numFmtId="0" fontId="30" fillId="0" borderId="26" xfId="0" applyFont="1" applyBorder="1" applyAlignment="1">
      <alignment horizontal="center" vertical="center" wrapText="1"/>
    </xf>
    <xf numFmtId="167" fontId="5" fillId="0" borderId="0" xfId="1" applyNumberFormat="1" applyFont="1" applyFill="1" applyAlignment="1">
      <alignment horizontal="center" vertical="center" wrapText="1"/>
    </xf>
    <xf numFmtId="2" fontId="5" fillId="0" borderId="0" xfId="1" applyNumberFormat="1" applyFont="1" applyFill="1" applyAlignment="1">
      <alignment horizontal="center" vertical="center" wrapText="1"/>
    </xf>
    <xf numFmtId="174" fontId="5" fillId="0" borderId="0" xfId="26" applyNumberFormat="1" applyFont="1" applyFill="1" applyAlignment="1">
      <alignment horizontal="center" vertical="center" wrapText="1"/>
    </xf>
    <xf numFmtId="10" fontId="5" fillId="0" borderId="0" xfId="26" applyNumberFormat="1" applyFont="1" applyFill="1" applyAlignment="1">
      <alignment horizontal="center" vertical="center" wrapText="1"/>
    </xf>
    <xf numFmtId="1" fontId="5" fillId="0" borderId="0" xfId="3" applyNumberFormat="1" applyFont="1" applyFill="1"/>
    <xf numFmtId="0" fontId="45" fillId="0" borderId="2" xfId="1" applyFont="1" applyFill="1" applyBorder="1" applyAlignment="1">
      <alignment horizontal="left" vertical="center" wrapText="1"/>
    </xf>
    <xf numFmtId="1" fontId="6" fillId="0" borderId="0" xfId="1" applyNumberFormat="1" applyFont="1" applyFill="1" applyBorder="1" applyAlignment="1">
      <alignment horizontal="center"/>
    </xf>
    <xf numFmtId="0" fontId="5" fillId="0" borderId="0" xfId="1" applyFont="1" applyAlignment="1">
      <alignment horizontal="center" vertical="center" wrapText="1"/>
    </xf>
    <xf numFmtId="0" fontId="13" fillId="0" borderId="0" xfId="4" applyFont="1" applyBorder="1" applyAlignment="1">
      <alignment horizontal="left" vertical="top" wrapText="1"/>
    </xf>
    <xf numFmtId="0" fontId="9" fillId="0" borderId="0" xfId="4" applyFont="1" applyBorder="1" applyAlignment="1">
      <alignment horizontal="center" vertical="top" wrapText="1"/>
    </xf>
    <xf numFmtId="0" fontId="9" fillId="0" borderId="0" xfId="4" applyFont="1" applyAlignment="1">
      <alignment horizontal="center" vertical="top" wrapText="1"/>
    </xf>
    <xf numFmtId="0" fontId="13" fillId="0" borderId="11" xfId="4" applyNumberFormat="1" applyFont="1" applyFill="1" applyBorder="1" applyAlignment="1" applyProtection="1">
      <alignment horizontal="center" vertical="center"/>
    </xf>
    <xf numFmtId="0" fontId="13" fillId="0" borderId="4" xfId="4" applyNumberFormat="1" applyFont="1" applyFill="1" applyBorder="1" applyAlignment="1" applyProtection="1">
      <alignment horizontal="center" vertical="center"/>
    </xf>
    <xf numFmtId="0" fontId="13" fillId="0" borderId="12" xfId="4" applyNumberFormat="1" applyFont="1" applyFill="1" applyBorder="1" applyAlignment="1" applyProtection="1">
      <alignment horizontal="center" vertical="center"/>
    </xf>
    <xf numFmtId="0" fontId="9" fillId="0" borderId="0" xfId="4" applyFont="1" applyAlignment="1">
      <alignment horizontal="left" vertical="top" wrapText="1"/>
    </xf>
    <xf numFmtId="0" fontId="13" fillId="0" borderId="10" xfId="4" applyFont="1" applyBorder="1" applyAlignment="1">
      <alignment horizontal="left" vertical="top" wrapText="1"/>
    </xf>
    <xf numFmtId="0" fontId="9" fillId="0" borderId="4" xfId="4" applyFont="1" applyBorder="1" applyAlignment="1">
      <alignment horizontal="center" vertical="top" wrapText="1"/>
    </xf>
    <xf numFmtId="0" fontId="28" fillId="0" borderId="2" xfId="4" applyFont="1" applyFill="1" applyBorder="1" applyAlignment="1" applyProtection="1">
      <alignment horizontal="center" vertical="center"/>
    </xf>
    <xf numFmtId="0" fontId="4" fillId="0" borderId="2" xfId="20" applyFont="1" applyFill="1" applyBorder="1" applyAlignment="1">
      <alignment horizontal="center" vertical="center" wrapText="1"/>
    </xf>
    <xf numFmtId="0" fontId="4" fillId="0" borderId="0" xfId="20" applyFont="1" applyBorder="1" applyAlignment="1">
      <alignment horizontal="center" vertical="center" wrapText="1"/>
    </xf>
    <xf numFmtId="0" fontId="4" fillId="0" borderId="2" xfId="20" applyFont="1" applyBorder="1" applyAlignment="1">
      <alignment horizontal="center" vertical="center" wrapText="1"/>
    </xf>
    <xf numFmtId="0" fontId="4" fillId="0" borderId="7" xfId="20" applyFont="1" applyFill="1" applyBorder="1" applyAlignment="1">
      <alignment horizontal="center" vertical="center"/>
    </xf>
    <xf numFmtId="0" fontId="4" fillId="0" borderId="2" xfId="20" applyFont="1" applyFill="1" applyBorder="1" applyAlignment="1">
      <alignment horizontal="center" vertical="center"/>
    </xf>
    <xf numFmtId="0" fontId="4" fillId="0" borderId="6" xfId="20" applyFont="1" applyFill="1" applyBorder="1" applyAlignment="1">
      <alignment horizontal="center" vertical="center" wrapText="1"/>
    </xf>
    <xf numFmtId="0" fontId="4" fillId="0" borderId="3" xfId="20" applyFont="1" applyFill="1" applyBorder="1" applyAlignment="1">
      <alignment horizontal="center" vertical="center" wrapText="1"/>
    </xf>
    <xf numFmtId="0" fontId="12" fillId="0" borderId="0" xfId="4" applyFont="1" applyFill="1" applyAlignment="1">
      <alignment horizontal="right"/>
    </xf>
    <xf numFmtId="0" fontId="23" fillId="0" borderId="14" xfId="4" applyFont="1" applyFill="1" applyBorder="1" applyAlignment="1" applyProtection="1">
      <alignment horizontal="center" vertical="center"/>
    </xf>
    <xf numFmtId="0" fontId="23" fillId="0" borderId="15" xfId="4" applyFont="1" applyFill="1" applyBorder="1" applyAlignment="1" applyProtection="1">
      <alignment horizontal="center" vertical="center"/>
    </xf>
    <xf numFmtId="0" fontId="23" fillId="0" borderId="16" xfId="4" applyFont="1" applyFill="1" applyBorder="1" applyAlignment="1" applyProtection="1">
      <alignment horizontal="center" vertical="center"/>
    </xf>
    <xf numFmtId="0" fontId="5" fillId="0" borderId="17" xfId="4" applyFont="1" applyFill="1" applyBorder="1" applyAlignment="1" applyProtection="1">
      <alignment horizontal="center" vertical="center" wrapText="1"/>
    </xf>
    <xf numFmtId="0" fontId="5" fillId="0" borderId="2" xfId="4" applyFont="1" applyFill="1" applyBorder="1" applyAlignment="1" applyProtection="1">
      <alignment horizontal="center" vertical="center" wrapText="1"/>
    </xf>
    <xf numFmtId="0" fontId="5" fillId="0" borderId="2" xfId="4" applyFont="1" applyFill="1" applyBorder="1" applyAlignment="1" applyProtection="1">
      <alignment horizontal="center" vertical="center" wrapText="1"/>
      <protection locked="0"/>
    </xf>
    <xf numFmtId="0" fontId="5" fillId="0" borderId="18" xfId="4" applyFont="1" applyFill="1" applyBorder="1" applyAlignment="1" applyProtection="1">
      <alignment horizontal="center" vertical="center" wrapText="1"/>
      <protection locked="0"/>
    </xf>
    <xf numFmtId="0" fontId="5" fillId="0" borderId="0" xfId="4" applyFont="1" applyFill="1" applyBorder="1" applyProtection="1"/>
    <xf numFmtId="0" fontId="5" fillId="0" borderId="0" xfId="4" applyFont="1" applyAlignment="1" applyProtection="1">
      <alignment horizontal="justify" vertical="top" wrapText="1"/>
    </xf>
    <xf numFmtId="0" fontId="5" fillId="0" borderId="19" xfId="4" applyFont="1" applyFill="1" applyBorder="1" applyAlignment="1" applyProtection="1">
      <alignment horizontal="center" vertical="center" wrapText="1"/>
    </xf>
    <xf numFmtId="0" fontId="5" fillId="0" borderId="20" xfId="4" applyFont="1" applyFill="1" applyBorder="1" applyAlignment="1" applyProtection="1">
      <alignment horizontal="center" vertical="center" wrapText="1"/>
    </xf>
    <xf numFmtId="0" fontId="8" fillId="0" borderId="37"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36" xfId="0" applyFont="1" applyBorder="1" applyAlignment="1">
      <alignment horizontal="center" vertical="center" wrapText="1"/>
    </xf>
    <xf numFmtId="0" fontId="10" fillId="5" borderId="37" xfId="0" applyFont="1" applyFill="1" applyBorder="1" applyAlignment="1">
      <alignment horizontal="center" vertical="center"/>
    </xf>
    <xf numFmtId="0" fontId="10" fillId="5" borderId="25" xfId="0" applyFont="1" applyFill="1" applyBorder="1" applyAlignment="1">
      <alignment horizontal="center" vertical="center"/>
    </xf>
    <xf numFmtId="0" fontId="40" fillId="0" borderId="22" xfId="0" applyFont="1" applyBorder="1" applyAlignment="1">
      <alignment horizontal="center" vertical="center"/>
    </xf>
    <xf numFmtId="0" fontId="40" fillId="0" borderId="23" xfId="0" applyFont="1" applyBorder="1" applyAlignment="1">
      <alignment horizontal="center" vertical="center"/>
    </xf>
    <xf numFmtId="0" fontId="40" fillId="0" borderId="24" xfId="0" applyFont="1" applyBorder="1" applyAlignment="1">
      <alignment horizontal="center" vertical="center"/>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24" fillId="0" borderId="0" xfId="8" applyFont="1" applyFill="1" applyAlignment="1">
      <alignment horizontal="center" wrapText="1"/>
    </xf>
    <xf numFmtId="0" fontId="24" fillId="0" borderId="0" xfId="5" applyFont="1" applyFill="1" applyAlignment="1" applyProtection="1">
      <alignment horizontal="left"/>
      <protection hidden="1"/>
    </xf>
    <xf numFmtId="0" fontId="9" fillId="0" borderId="0" xfId="8" applyFont="1" applyFill="1" applyAlignment="1">
      <alignment horizontal="center"/>
    </xf>
    <xf numFmtId="0" fontId="0" fillId="0" borderId="0" xfId="8" applyFont="1" applyFill="1" applyAlignment="1">
      <alignment horizontal="right"/>
    </xf>
    <xf numFmtId="0" fontId="23" fillId="0" borderId="2" xfId="8" applyFont="1" applyFill="1" applyBorder="1" applyAlignment="1">
      <alignment horizontal="center" vertical="center" wrapText="1"/>
    </xf>
    <xf numFmtId="0" fontId="27" fillId="0" borderId="2" xfId="8" applyFont="1" applyFill="1" applyBorder="1" applyAlignment="1">
      <alignment horizontal="center" vertical="center" wrapText="1"/>
    </xf>
    <xf numFmtId="0" fontId="9" fillId="0" borderId="0" xfId="4" applyFont="1" applyFill="1" applyAlignment="1">
      <alignment horizontal="center"/>
    </xf>
    <xf numFmtId="0" fontId="0" fillId="0" borderId="0" xfId="4" applyFont="1" applyFill="1" applyAlignment="1">
      <alignment horizontal="right"/>
    </xf>
    <xf numFmtId="0" fontId="13" fillId="0" borderId="29" xfId="4" applyFont="1" applyBorder="1" applyAlignment="1">
      <alignment horizontal="center" vertical="center" wrapText="1"/>
    </xf>
    <xf numFmtId="0" fontId="13" fillId="0" borderId="30" xfId="4" applyFont="1" applyBorder="1" applyAlignment="1">
      <alignment horizontal="center" vertical="center" wrapText="1"/>
    </xf>
    <xf numFmtId="0" fontId="13" fillId="0" borderId="31" xfId="4" applyFont="1" applyBorder="1" applyAlignment="1">
      <alignment horizontal="center" vertical="center" wrapText="1"/>
    </xf>
    <xf numFmtId="0" fontId="35" fillId="0" borderId="22" xfId="0" applyFont="1" applyBorder="1" applyAlignment="1">
      <alignment horizontal="center" vertical="center"/>
    </xf>
    <xf numFmtId="0" fontId="35" fillId="0" borderId="23" xfId="0" applyFont="1" applyBorder="1" applyAlignment="1">
      <alignment horizontal="center" vertical="center"/>
    </xf>
    <xf numFmtId="0" fontId="35" fillId="0" borderId="24" xfId="0" applyFont="1" applyBorder="1" applyAlignment="1">
      <alignment horizontal="center" vertical="center"/>
    </xf>
    <xf numFmtId="0" fontId="31" fillId="0" borderId="0" xfId="0" applyFont="1" applyAlignment="1">
      <alignment horizontal="center" vertical="center" wrapText="1"/>
    </xf>
    <xf numFmtId="0" fontId="5" fillId="0" borderId="6" xfId="2" applyFont="1" applyFill="1" applyBorder="1" applyAlignment="1">
      <alignment horizontal="center" vertical="center" wrapText="1"/>
    </xf>
    <xf numFmtId="0" fontId="5" fillId="0" borderId="3" xfId="2" applyFont="1" applyFill="1" applyBorder="1" applyAlignment="1">
      <alignment horizontal="center" vertical="center" wrapText="1"/>
    </xf>
    <xf numFmtId="0" fontId="5" fillId="0" borderId="0" xfId="1" applyFont="1" applyAlignment="1">
      <alignment horizontal="center" vertical="center" wrapText="1"/>
    </xf>
    <xf numFmtId="0" fontId="6" fillId="0" borderId="2" xfId="2" applyFont="1" applyFill="1" applyBorder="1" applyAlignment="1">
      <alignment horizontal="center" vertical="center" wrapText="1"/>
    </xf>
    <xf numFmtId="0" fontId="4" fillId="0" borderId="2" xfId="1" applyFont="1" applyFill="1" applyBorder="1" applyAlignment="1">
      <alignment horizontal="right"/>
    </xf>
    <xf numFmtId="0" fontId="8" fillId="0" borderId="6" xfId="2" applyFont="1" applyFill="1" applyBorder="1" applyAlignment="1">
      <alignment horizontal="center" vertical="center" wrapText="1"/>
    </xf>
    <xf numFmtId="0" fontId="8" fillId="0" borderId="3" xfId="2" applyFont="1" applyFill="1" applyBorder="1" applyAlignment="1">
      <alignment horizontal="center" vertical="center" wrapText="1"/>
    </xf>
    <xf numFmtId="0" fontId="8" fillId="0" borderId="6" xfId="2" applyFont="1" applyFill="1" applyBorder="1" applyAlignment="1">
      <alignment horizontal="left" vertical="center" wrapText="1"/>
    </xf>
    <xf numFmtId="0" fontId="8" fillId="0" borderId="3" xfId="2" applyFont="1" applyFill="1" applyBorder="1" applyAlignment="1">
      <alignment horizontal="left" vertical="center" wrapText="1"/>
    </xf>
    <xf numFmtId="0" fontId="4" fillId="0" borderId="2" xfId="1" applyFont="1" applyFill="1" applyBorder="1" applyAlignment="1">
      <alignment horizontal="left" vertical="center"/>
    </xf>
    <xf numFmtId="0" fontId="4" fillId="2" borderId="2" xfId="1" applyFont="1" applyFill="1" applyBorder="1" applyAlignment="1">
      <alignment horizontal="left"/>
    </xf>
    <xf numFmtId="0" fontId="4" fillId="0" borderId="3" xfId="1" applyFont="1" applyFill="1" applyBorder="1" applyAlignment="1">
      <alignment horizontal="left" vertical="center"/>
    </xf>
    <xf numFmtId="0" fontId="4" fillId="0" borderId="2" xfId="1" applyFont="1" applyFill="1" applyBorder="1" applyAlignment="1">
      <alignment horizontal="center" vertical="center" wrapText="1"/>
    </xf>
    <xf numFmtId="0" fontId="6" fillId="0" borderId="6" xfId="2" applyFont="1" applyBorder="1" applyAlignment="1">
      <alignment horizontal="center" vertical="center" wrapText="1"/>
    </xf>
    <xf numFmtId="0" fontId="6" fillId="0" borderId="5" xfId="2" applyFont="1" applyBorder="1" applyAlignment="1">
      <alignment horizontal="center" vertical="center" wrapText="1"/>
    </xf>
    <xf numFmtId="0" fontId="6" fillId="0" borderId="3" xfId="2" applyFont="1" applyBorder="1" applyAlignment="1">
      <alignment horizontal="center" vertical="center" wrapText="1"/>
    </xf>
    <xf numFmtId="167" fontId="4" fillId="0" borderId="2" xfId="1" applyNumberFormat="1" applyFont="1" applyFill="1" applyBorder="1" applyAlignment="1">
      <alignment horizontal="center" vertical="center"/>
    </xf>
    <xf numFmtId="0" fontId="6" fillId="0" borderId="2"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7" fillId="0" borderId="6" xfId="2" applyFont="1" applyFill="1" applyBorder="1" applyAlignment="1">
      <alignment horizontal="center" vertical="center" wrapText="1"/>
    </xf>
    <xf numFmtId="0" fontId="7" fillId="0" borderId="3" xfId="2" applyFont="1" applyFill="1" applyBorder="1" applyAlignment="1">
      <alignment horizontal="center" vertical="center" wrapText="1"/>
    </xf>
    <xf numFmtId="0" fontId="5" fillId="0" borderId="2" xfId="1" applyFont="1" applyFill="1" applyBorder="1" applyAlignment="1">
      <alignment horizontal="center" vertical="center" wrapText="1"/>
    </xf>
    <xf numFmtId="0" fontId="5" fillId="0" borderId="6" xfId="1" applyFont="1" applyFill="1" applyBorder="1" applyAlignment="1">
      <alignment horizontal="left" vertical="center" wrapText="1"/>
    </xf>
    <xf numFmtId="0" fontId="5" fillId="0" borderId="3" xfId="1" applyFont="1" applyFill="1" applyBorder="1" applyAlignment="1">
      <alignment horizontal="left" vertical="center" wrapText="1"/>
    </xf>
    <xf numFmtId="0" fontId="4" fillId="0" borderId="0" xfId="1" applyFont="1" applyFill="1" applyBorder="1" applyAlignment="1" applyProtection="1">
      <alignment horizontal="center" vertical="center" wrapText="1"/>
    </xf>
    <xf numFmtId="0" fontId="4" fillId="0" borderId="1" xfId="1" applyFont="1" applyFill="1" applyBorder="1" applyAlignment="1" applyProtection="1">
      <alignment horizontal="center" vertical="center" wrapText="1"/>
    </xf>
    <xf numFmtId="0" fontId="6" fillId="0" borderId="6" xfId="1" applyFont="1" applyFill="1" applyBorder="1" applyAlignment="1">
      <alignment horizontal="center" vertical="center" wrapText="1"/>
    </xf>
    <xf numFmtId="0" fontId="6" fillId="0" borderId="5" xfId="1" applyFont="1" applyFill="1" applyBorder="1" applyAlignment="1">
      <alignment horizontal="center" vertical="center" wrapText="1"/>
    </xf>
    <xf numFmtId="0" fontId="6" fillId="0" borderId="3" xfId="1" applyFont="1" applyFill="1" applyBorder="1" applyAlignment="1">
      <alignment horizontal="center" vertical="center" wrapText="1"/>
    </xf>
    <xf numFmtId="0" fontId="4" fillId="0" borderId="6" xfId="1" applyFont="1" applyFill="1" applyBorder="1" applyAlignment="1">
      <alignment horizontal="center" vertical="center"/>
    </xf>
    <xf numFmtId="0" fontId="4" fillId="0" borderId="5" xfId="1" applyFont="1" applyFill="1" applyBorder="1" applyAlignment="1">
      <alignment horizontal="center" vertical="center"/>
    </xf>
    <xf numFmtId="0" fontId="4" fillId="0" borderId="3" xfId="1" applyFont="1" applyFill="1" applyBorder="1" applyAlignment="1">
      <alignment horizontal="center" vertical="center"/>
    </xf>
    <xf numFmtId="0" fontId="4" fillId="0" borderId="6" xfId="1" applyFont="1" applyFill="1" applyBorder="1" applyAlignment="1">
      <alignment horizontal="center" vertical="center" wrapText="1"/>
    </xf>
    <xf numFmtId="0" fontId="4" fillId="0" borderId="5" xfId="1" applyFont="1" applyFill="1" applyBorder="1" applyAlignment="1">
      <alignment horizontal="center" vertical="center" wrapText="1"/>
    </xf>
    <xf numFmtId="0" fontId="4" fillId="0" borderId="3" xfId="1" applyFont="1" applyFill="1" applyBorder="1" applyAlignment="1">
      <alignment horizontal="center" vertical="center" wrapText="1"/>
    </xf>
    <xf numFmtId="0" fontId="6" fillId="0" borderId="6" xfId="12" applyFont="1" applyFill="1" applyBorder="1" applyAlignment="1">
      <alignment horizontal="center" vertical="center" wrapText="1"/>
    </xf>
    <xf numFmtId="0" fontId="6" fillId="0" borderId="5" xfId="12" applyFont="1" applyFill="1" applyBorder="1" applyAlignment="1">
      <alignment horizontal="center" vertical="center" wrapText="1"/>
    </xf>
    <xf numFmtId="0" fontId="6" fillId="0" borderId="3" xfId="12" applyFont="1" applyFill="1" applyBorder="1" applyAlignment="1">
      <alignment horizontal="center" vertical="center" wrapText="1"/>
    </xf>
    <xf numFmtId="167" fontId="4" fillId="0" borderId="6" xfId="1" applyNumberFormat="1" applyFont="1" applyFill="1" applyBorder="1" applyAlignment="1">
      <alignment horizontal="center" vertical="center"/>
    </xf>
    <xf numFmtId="167" fontId="4" fillId="0" borderId="5" xfId="1" applyNumberFormat="1" applyFont="1" applyFill="1" applyBorder="1" applyAlignment="1">
      <alignment horizontal="center" vertical="center"/>
    </xf>
    <xf numFmtId="167" fontId="4" fillId="0" borderId="3" xfId="1" applyNumberFormat="1" applyFont="1" applyFill="1" applyBorder="1" applyAlignment="1">
      <alignment horizontal="center" vertical="center"/>
    </xf>
    <xf numFmtId="0" fontId="4" fillId="0" borderId="2" xfId="1" applyFont="1" applyFill="1" applyBorder="1" applyAlignment="1">
      <alignment horizontal="left"/>
    </xf>
    <xf numFmtId="0" fontId="46" fillId="0" borderId="0" xfId="4" applyFont="1" applyAlignment="1">
      <alignment horizontal="center"/>
    </xf>
    <xf numFmtId="0" fontId="4" fillId="0" borderId="0" xfId="1" applyFont="1" applyAlignment="1">
      <alignment horizontal="center" vertical="center" wrapText="1"/>
    </xf>
    <xf numFmtId="0" fontId="4" fillId="0" borderId="0" xfId="1" applyFont="1" applyAlignment="1">
      <alignment vertical="center" wrapText="1"/>
    </xf>
    <xf numFmtId="0" fontId="4" fillId="0" borderId="0" xfId="3" applyFont="1" applyFill="1"/>
    <xf numFmtId="0" fontId="5" fillId="0" borderId="10" xfId="1" applyFont="1" applyBorder="1" applyAlignment="1">
      <alignment horizontal="center" vertical="center" wrapText="1"/>
    </xf>
    <xf numFmtId="0" fontId="27" fillId="0" borderId="10" xfId="8" applyFont="1" applyFill="1" applyBorder="1" applyAlignment="1">
      <alignment horizontal="center"/>
    </xf>
    <xf numFmtId="0" fontId="24" fillId="0" borderId="10" xfId="8" applyFont="1" applyFill="1" applyBorder="1" applyAlignment="1">
      <alignment horizontal="right"/>
    </xf>
  </cellXfs>
  <cellStyles count="27">
    <cellStyle name="Iau?iue" xfId="4" xr:uid="{00000000-0005-0000-0000-000000000000}"/>
    <cellStyle name="Iau?iue 15 2" xfId="7" xr:uid="{00000000-0005-0000-0000-000001000000}"/>
    <cellStyle name="Iau?iue 2" xfId="8" xr:uid="{00000000-0005-0000-0000-000002000000}"/>
    <cellStyle name="Iau?iue 3" xfId="9" xr:uid="{00000000-0005-0000-0000-000003000000}"/>
    <cellStyle name="Iau?iue_dodatok" xfId="1" xr:uid="{00000000-0005-0000-0000-000004000000}"/>
    <cellStyle name="Iau?iue_dodatok 2" xfId="3" xr:uid="{00000000-0005-0000-0000-000005000000}"/>
    <cellStyle name="Відсотковий 2" xfId="10" xr:uid="{00000000-0005-0000-0000-000006000000}"/>
    <cellStyle name="Звичайний 2" xfId="11" xr:uid="{00000000-0005-0000-0000-000007000000}"/>
    <cellStyle name="Обычный" xfId="0" builtinId="0"/>
    <cellStyle name="Обычный 10" xfId="12" xr:uid="{00000000-0005-0000-0000-000009000000}"/>
    <cellStyle name="Обычный 2" xfId="2" xr:uid="{00000000-0005-0000-0000-00000A000000}"/>
    <cellStyle name="Обычный 2 2" xfId="13" xr:uid="{00000000-0005-0000-0000-00000B000000}"/>
    <cellStyle name="Обычный 2 3" xfId="14" xr:uid="{00000000-0005-0000-0000-00000C000000}"/>
    <cellStyle name="Обычный 3" xfId="15" xr:uid="{00000000-0005-0000-0000-00000D000000}"/>
    <cellStyle name="Обычный 3 2" xfId="16" xr:uid="{00000000-0005-0000-0000-00000E000000}"/>
    <cellStyle name="Обычный 4" xfId="17" xr:uid="{00000000-0005-0000-0000-00000F000000}"/>
    <cellStyle name="Обычный 5" xfId="18" xr:uid="{00000000-0005-0000-0000-000010000000}"/>
    <cellStyle name="Обычный 6" xfId="19" xr:uid="{00000000-0005-0000-0000-000011000000}"/>
    <cellStyle name="Обычный 7" xfId="20" xr:uid="{00000000-0005-0000-0000-000012000000}"/>
    <cellStyle name="Обычный 8" xfId="21" xr:uid="{00000000-0005-0000-0000-000013000000}"/>
    <cellStyle name="Обычный_dodatok" xfId="6" xr:uid="{00000000-0005-0000-0000-000014000000}"/>
    <cellStyle name="Обычный_nkre1" xfId="5" xr:uid="{00000000-0005-0000-0000-000015000000}"/>
    <cellStyle name="Обычный_новий шаблон ф.132" xfId="22" xr:uid="{00000000-0005-0000-0000-000016000000}"/>
    <cellStyle name="Процентный" xfId="26" builtinId="5"/>
    <cellStyle name="Стиль 1" xfId="23" xr:uid="{00000000-0005-0000-0000-000018000000}"/>
    <cellStyle name="Финансовый" xfId="25" builtinId="3"/>
    <cellStyle name="Финансовый 2" xfId="24" xr:uid="{00000000-0005-0000-0000-00001A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G20"/>
  <sheetViews>
    <sheetView workbookViewId="0">
      <selection activeCell="C5" sqref="C5"/>
    </sheetView>
  </sheetViews>
  <sheetFormatPr defaultRowHeight="15"/>
  <cols>
    <col min="1" max="1" width="33.5703125" style="89" customWidth="1"/>
    <col min="2" max="2" width="3.5703125" style="89" customWidth="1"/>
    <col min="3" max="3" width="19.42578125" style="89" customWidth="1"/>
    <col min="4" max="4" width="4.140625" style="89" customWidth="1"/>
    <col min="5" max="5" width="16.5703125" style="89" customWidth="1"/>
    <col min="6" max="6" width="5.140625" style="89" customWidth="1"/>
    <col min="7" max="7" width="16.140625" style="89" customWidth="1"/>
    <col min="8" max="16384" width="9.140625" style="89"/>
  </cols>
  <sheetData>
    <row r="1" spans="1:7" ht="102.75" customHeight="1">
      <c r="A1" s="128"/>
      <c r="B1" s="128"/>
      <c r="C1" s="129"/>
      <c r="D1" s="129"/>
      <c r="E1" s="351" t="s">
        <v>369</v>
      </c>
      <c r="F1" s="351"/>
      <c r="G1" s="351"/>
    </row>
    <row r="2" spans="1:7" ht="102.75" customHeight="1">
      <c r="A2" s="128"/>
      <c r="B2" s="128"/>
      <c r="C2" s="129"/>
      <c r="D2" s="129"/>
      <c r="E2" s="130"/>
      <c r="F2" s="130"/>
      <c r="G2" s="130"/>
    </row>
    <row r="3" spans="1:7" ht="52.5" customHeight="1">
      <c r="A3" s="128"/>
      <c r="B3" s="128"/>
      <c r="C3" s="129"/>
      <c r="D3" s="129"/>
      <c r="E3" s="352" t="s">
        <v>370</v>
      </c>
      <c r="F3" s="352"/>
      <c r="G3" s="352"/>
    </row>
    <row r="4" spans="1:7" ht="18.75" customHeight="1">
      <c r="A4" s="128"/>
      <c r="B4" s="128"/>
      <c r="C4" s="129"/>
      <c r="D4" s="129"/>
      <c r="E4" s="131"/>
      <c r="F4" s="131"/>
      <c r="G4" s="131" t="s">
        <v>371</v>
      </c>
    </row>
    <row r="5" spans="1:7" ht="22.5" customHeight="1">
      <c r="A5" s="128"/>
      <c r="B5" s="128"/>
      <c r="C5" s="129"/>
      <c r="D5" s="129"/>
      <c r="E5" s="353" t="s">
        <v>372</v>
      </c>
      <c r="F5" s="353"/>
      <c r="G5" s="353"/>
    </row>
    <row r="6" spans="1:7" ht="17.25" customHeight="1">
      <c r="A6" s="128"/>
      <c r="B6" s="128"/>
      <c r="C6" s="129"/>
      <c r="D6" s="129"/>
      <c r="E6" s="347" t="s">
        <v>203</v>
      </c>
      <c r="F6" s="347"/>
      <c r="G6" s="347"/>
    </row>
    <row r="7" spans="1:7" ht="17.25" customHeight="1">
      <c r="A7" s="128"/>
      <c r="B7" s="128"/>
      <c r="C7" s="129"/>
      <c r="D7" s="129"/>
      <c r="E7" s="132"/>
      <c r="F7" s="132"/>
      <c r="G7" s="132"/>
    </row>
    <row r="8" spans="1:7" ht="17.25" customHeight="1">
      <c r="A8" s="128"/>
      <c r="B8" s="128"/>
      <c r="C8" s="129"/>
      <c r="D8" s="129"/>
      <c r="E8" s="132"/>
      <c r="F8" s="132"/>
      <c r="G8" s="132"/>
    </row>
    <row r="9" spans="1:7" ht="30.75" customHeight="1">
      <c r="A9" s="354" t="s">
        <v>373</v>
      </c>
      <c r="B9" s="354"/>
      <c r="C9" s="354"/>
      <c r="D9" s="354"/>
      <c r="E9" s="354"/>
      <c r="F9" s="354"/>
      <c r="G9" s="128"/>
    </row>
    <row r="10" spans="1:7" ht="36" customHeight="1">
      <c r="A10" s="133" t="s">
        <v>374</v>
      </c>
      <c r="B10" s="348" t="s">
        <v>375</v>
      </c>
      <c r="C10" s="349"/>
      <c r="D10" s="349"/>
      <c r="E10" s="349"/>
      <c r="F10" s="350"/>
      <c r="G10" s="128"/>
    </row>
    <row r="11" spans="1:7" ht="24" customHeight="1">
      <c r="A11" s="134" t="s">
        <v>376</v>
      </c>
      <c r="B11" s="135" t="s">
        <v>377</v>
      </c>
      <c r="C11" s="136">
        <v>2020</v>
      </c>
      <c r="D11" s="137" t="s">
        <v>378</v>
      </c>
      <c r="E11" s="138">
        <v>2024</v>
      </c>
      <c r="F11" s="139"/>
      <c r="G11" s="128"/>
    </row>
    <row r="14" spans="1:7" ht="54.75" customHeight="1">
      <c r="A14" s="128"/>
      <c r="B14" s="128"/>
      <c r="C14" s="129"/>
      <c r="D14" s="129"/>
      <c r="E14" s="345" t="s">
        <v>379</v>
      </c>
      <c r="F14" s="345"/>
      <c r="G14" s="345"/>
    </row>
    <row r="15" spans="1:7" ht="22.5" customHeight="1">
      <c r="A15" s="128"/>
      <c r="B15" s="128"/>
      <c r="C15" s="129"/>
      <c r="D15" s="129"/>
      <c r="E15" s="346"/>
      <c r="F15" s="346"/>
      <c r="G15" s="346"/>
    </row>
    <row r="16" spans="1:7" ht="17.25" customHeight="1">
      <c r="A16" s="128"/>
      <c r="B16" s="128"/>
      <c r="C16" s="129"/>
      <c r="D16" s="129"/>
      <c r="E16" s="347"/>
      <c r="F16" s="347"/>
      <c r="G16" s="347"/>
    </row>
    <row r="17" spans="1:7" ht="54.75" customHeight="1">
      <c r="A17" s="128"/>
      <c r="B17" s="128"/>
      <c r="C17" s="129"/>
      <c r="D17" s="129"/>
      <c r="E17" s="345" t="s">
        <v>380</v>
      </c>
      <c r="F17" s="345"/>
      <c r="G17" s="345"/>
    </row>
    <row r="18" spans="1:7" ht="22.5" customHeight="1">
      <c r="A18" s="128"/>
      <c r="B18" s="128"/>
      <c r="C18" s="129"/>
      <c r="D18" s="129"/>
      <c r="E18" s="346"/>
      <c r="F18" s="346"/>
      <c r="G18" s="346"/>
    </row>
    <row r="19" spans="1:7" ht="17.25" customHeight="1">
      <c r="A19" s="128"/>
      <c r="B19" s="128"/>
      <c r="C19" s="129"/>
      <c r="D19" s="129"/>
      <c r="E19" s="347"/>
      <c r="F19" s="347"/>
      <c r="G19" s="347"/>
    </row>
    <row r="20" spans="1:7" ht="54.75" customHeight="1">
      <c r="A20" s="128"/>
      <c r="B20" s="128"/>
      <c r="C20" s="129"/>
      <c r="D20" s="129"/>
      <c r="E20" s="345" t="s">
        <v>381</v>
      </c>
      <c r="F20" s="345"/>
      <c r="G20" s="345"/>
    </row>
  </sheetData>
  <mergeCells count="13">
    <mergeCell ref="B10:F10"/>
    <mergeCell ref="E1:G1"/>
    <mergeCell ref="E3:G3"/>
    <mergeCell ref="E5:G5"/>
    <mergeCell ref="E6:G6"/>
    <mergeCell ref="A9:F9"/>
    <mergeCell ref="E20:G20"/>
    <mergeCell ref="E14:G14"/>
    <mergeCell ref="E15:G15"/>
    <mergeCell ref="E16:G16"/>
    <mergeCell ref="E17:G17"/>
    <mergeCell ref="E18:G18"/>
    <mergeCell ref="E19:G19"/>
  </mergeCells>
  <pageMargins left="1.0629921259842521" right="0.39370078740157483" top="0.70866141732283472" bottom="0.98425196850393704" header="0.51181102362204722" footer="0.51181102362204722"/>
  <pageSetup paperSize="9" scale="94" pageOrder="overThenDown"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34"/>
  <sheetViews>
    <sheetView workbookViewId="0">
      <pane xSplit="2" ySplit="4" topLeftCell="C29" activePane="bottomRight" state="frozen"/>
      <selection pane="topRight" activeCell="C1" sqref="C1"/>
      <selection pane="bottomLeft" activeCell="A5" sqref="A5"/>
      <selection pane="bottomRight" activeCell="I27" sqref="I27"/>
    </sheetView>
  </sheetViews>
  <sheetFormatPr defaultRowHeight="15"/>
  <cols>
    <col min="1" max="1" width="3.85546875" style="276" customWidth="1"/>
    <col min="2" max="2" width="26.5703125" style="276" customWidth="1"/>
    <col min="3" max="3" width="11.7109375" style="274" customWidth="1"/>
    <col min="4" max="4" width="12.85546875" style="274" customWidth="1"/>
    <col min="5" max="5" width="10.140625" style="281" customWidth="1"/>
    <col min="6" max="6" width="13.85546875" style="281" customWidth="1"/>
    <col min="7" max="7" width="8" style="281" customWidth="1"/>
    <col min="8" max="8" width="7.42578125" style="281" customWidth="1"/>
    <col min="9" max="9" width="7.5703125" style="281" customWidth="1"/>
    <col min="10" max="10" width="8.7109375" style="281" customWidth="1"/>
    <col min="11" max="11" width="6.7109375" style="281" customWidth="1"/>
    <col min="12" max="12" width="16.42578125" style="275" customWidth="1"/>
    <col min="13" max="13" width="14.140625" style="275" customWidth="1"/>
    <col min="14" max="16384" width="9.140625" style="276"/>
  </cols>
  <sheetData>
    <row r="1" spans="1:13" ht="56.25" customHeight="1">
      <c r="A1" s="356" t="s">
        <v>289</v>
      </c>
      <c r="B1" s="356"/>
      <c r="C1" s="356"/>
      <c r="D1" s="356"/>
      <c r="E1" s="356"/>
      <c r="F1" s="356"/>
      <c r="G1" s="356"/>
      <c r="H1" s="356"/>
      <c r="I1" s="356"/>
      <c r="J1" s="356"/>
      <c r="K1" s="356"/>
      <c r="L1" s="356"/>
    </row>
    <row r="2" spans="1:13" ht="45" customHeight="1">
      <c r="A2" s="357" t="s">
        <v>290</v>
      </c>
      <c r="B2" s="357" t="s">
        <v>291</v>
      </c>
      <c r="C2" s="357" t="s">
        <v>292</v>
      </c>
      <c r="D2" s="357" t="s">
        <v>293</v>
      </c>
      <c r="E2" s="355" t="s">
        <v>294</v>
      </c>
      <c r="F2" s="355"/>
      <c r="G2" s="358" t="s">
        <v>295</v>
      </c>
      <c r="H2" s="359"/>
      <c r="I2" s="359"/>
      <c r="J2" s="359"/>
      <c r="K2" s="359"/>
      <c r="L2" s="360" t="s">
        <v>296</v>
      </c>
      <c r="M2" s="355" t="s">
        <v>297</v>
      </c>
    </row>
    <row r="3" spans="1:13" ht="51" customHeight="1">
      <c r="A3" s="357"/>
      <c r="B3" s="357"/>
      <c r="C3" s="357"/>
      <c r="D3" s="357"/>
      <c r="E3" s="264" t="s">
        <v>298</v>
      </c>
      <c r="F3" s="264" t="s">
        <v>299</v>
      </c>
      <c r="G3" s="265">
        <v>2014</v>
      </c>
      <c r="H3" s="264">
        <v>2015</v>
      </c>
      <c r="I3" s="264">
        <v>2016</v>
      </c>
      <c r="J3" s="264">
        <v>2017</v>
      </c>
      <c r="K3" s="264">
        <v>2018</v>
      </c>
      <c r="L3" s="361"/>
      <c r="M3" s="355"/>
    </row>
    <row r="4" spans="1:13">
      <c r="A4" s="266">
        <v>1</v>
      </c>
      <c r="B4" s="266">
        <v>2</v>
      </c>
      <c r="C4" s="266">
        <v>3</v>
      </c>
      <c r="D4" s="266">
        <v>4</v>
      </c>
      <c r="E4" s="264">
        <v>5</v>
      </c>
      <c r="F4" s="264">
        <v>6</v>
      </c>
      <c r="G4" s="267">
        <v>7</v>
      </c>
      <c r="H4" s="268">
        <v>8</v>
      </c>
      <c r="I4" s="268">
        <v>9</v>
      </c>
      <c r="J4" s="268">
        <v>10</v>
      </c>
      <c r="K4" s="268">
        <v>11</v>
      </c>
      <c r="L4" s="268">
        <v>12</v>
      </c>
      <c r="M4" s="277"/>
    </row>
    <row r="5" spans="1:13" ht="65.25" customHeight="1">
      <c r="A5" s="124">
        <v>1</v>
      </c>
      <c r="B5" s="269" t="s">
        <v>300</v>
      </c>
      <c r="C5" s="124" t="s">
        <v>301</v>
      </c>
      <c r="D5" s="270" t="s">
        <v>411</v>
      </c>
      <c r="E5" s="125">
        <v>0.97350000000000003</v>
      </c>
      <c r="F5" s="125">
        <v>0</v>
      </c>
      <c r="G5" s="126">
        <v>0.20499999999999999</v>
      </c>
      <c r="H5" s="125">
        <v>7.0000000000000001E-3</v>
      </c>
      <c r="I5" s="125">
        <v>9.5000000000000001E-2</v>
      </c>
      <c r="J5" s="125">
        <v>0.21669999999999998</v>
      </c>
      <c r="K5" s="125">
        <v>1.1359000000000001</v>
      </c>
      <c r="L5" s="271" t="s">
        <v>601</v>
      </c>
      <c r="M5" s="277"/>
    </row>
    <row r="6" spans="1:13" ht="15.75" customHeight="1">
      <c r="A6" s="124">
        <v>2</v>
      </c>
      <c r="B6" s="269" t="s">
        <v>302</v>
      </c>
      <c r="C6" s="124" t="s">
        <v>303</v>
      </c>
      <c r="D6" s="272" t="s">
        <v>304</v>
      </c>
      <c r="E6" s="125">
        <v>0.15</v>
      </c>
      <c r="F6" s="125">
        <v>0</v>
      </c>
      <c r="G6" s="127">
        <v>0</v>
      </c>
      <c r="H6" s="127">
        <v>0</v>
      </c>
      <c r="I6" s="125">
        <v>1.8260000000000002E-2</v>
      </c>
      <c r="J6" s="127">
        <v>0</v>
      </c>
      <c r="K6" s="125">
        <v>0.15</v>
      </c>
      <c r="L6" s="125"/>
      <c r="M6" s="277"/>
    </row>
    <row r="7" spans="1:13" ht="15" customHeight="1">
      <c r="A7" s="124">
        <v>3</v>
      </c>
      <c r="B7" s="269" t="s">
        <v>305</v>
      </c>
      <c r="C7" s="124" t="s">
        <v>306</v>
      </c>
      <c r="D7" s="272" t="s">
        <v>307</v>
      </c>
      <c r="E7" s="125">
        <v>0.29799999999999999</v>
      </c>
      <c r="F7" s="125">
        <v>0</v>
      </c>
      <c r="G7" s="127">
        <v>0</v>
      </c>
      <c r="H7" s="127">
        <v>0</v>
      </c>
      <c r="I7" s="125">
        <v>5.0999999999999997E-2</v>
      </c>
      <c r="J7" s="127">
        <v>0</v>
      </c>
      <c r="K7" s="125">
        <v>1.198</v>
      </c>
      <c r="L7" s="125"/>
      <c r="M7" s="277"/>
    </row>
    <row r="8" spans="1:13" ht="28.5">
      <c r="A8" s="124">
        <v>4</v>
      </c>
      <c r="B8" s="269" t="s">
        <v>308</v>
      </c>
      <c r="C8" s="124" t="s">
        <v>309</v>
      </c>
      <c r="D8" s="273" t="s">
        <v>310</v>
      </c>
      <c r="E8" s="278">
        <v>0</v>
      </c>
      <c r="F8" s="278">
        <v>0</v>
      </c>
      <c r="G8" s="279">
        <v>0</v>
      </c>
      <c r="H8" s="279">
        <v>0</v>
      </c>
      <c r="I8" s="279">
        <v>0</v>
      </c>
      <c r="J8" s="278">
        <v>0</v>
      </c>
      <c r="K8" s="278">
        <v>2.0500000000000001E-2</v>
      </c>
      <c r="L8" s="277"/>
      <c r="M8" s="277"/>
    </row>
    <row r="9" spans="1:13">
      <c r="A9" s="124">
        <v>5</v>
      </c>
      <c r="B9" s="269" t="s">
        <v>311</v>
      </c>
      <c r="C9" s="273">
        <v>32</v>
      </c>
      <c r="D9" s="273" t="s">
        <v>412</v>
      </c>
      <c r="E9" s="278">
        <v>0</v>
      </c>
      <c r="F9" s="278">
        <v>0</v>
      </c>
      <c r="G9" s="279">
        <v>0</v>
      </c>
      <c r="H9" s="279">
        <v>0</v>
      </c>
      <c r="I9" s="279">
        <v>0</v>
      </c>
      <c r="J9" s="278">
        <v>0</v>
      </c>
      <c r="K9" s="278">
        <v>0</v>
      </c>
      <c r="L9" s="277"/>
      <c r="M9" s="277"/>
    </row>
    <row r="10" spans="1:13">
      <c r="A10" s="124">
        <v>6</v>
      </c>
      <c r="B10" s="269" t="s">
        <v>312</v>
      </c>
      <c r="C10" s="124" t="s">
        <v>306</v>
      </c>
      <c r="D10" s="273" t="s">
        <v>313</v>
      </c>
      <c r="E10" s="278">
        <v>1.2890999999999999</v>
      </c>
      <c r="F10" s="278">
        <v>0</v>
      </c>
      <c r="G10" s="279">
        <v>0</v>
      </c>
      <c r="H10" s="279">
        <v>9.0275000000000008E-2</v>
      </c>
      <c r="I10" s="279">
        <v>0.41878500000000002</v>
      </c>
      <c r="J10" s="278">
        <v>0.30210000000000004</v>
      </c>
      <c r="K10" s="278">
        <v>1.2890999999999999</v>
      </c>
      <c r="L10" s="277"/>
      <c r="M10" s="277"/>
    </row>
    <row r="11" spans="1:13" ht="28.5">
      <c r="A11" s="124">
        <v>7</v>
      </c>
      <c r="B11" s="269" t="s">
        <v>314</v>
      </c>
      <c r="C11" s="124" t="s">
        <v>315</v>
      </c>
      <c r="D11" s="273" t="s">
        <v>316</v>
      </c>
      <c r="E11" s="278">
        <v>0</v>
      </c>
      <c r="F11" s="278">
        <v>0</v>
      </c>
      <c r="G11" s="279">
        <v>0</v>
      </c>
      <c r="H11" s="279">
        <v>0</v>
      </c>
      <c r="I11" s="279">
        <v>0</v>
      </c>
      <c r="J11" s="278">
        <v>0</v>
      </c>
      <c r="K11" s="278">
        <v>0</v>
      </c>
      <c r="L11" s="277"/>
      <c r="M11" s="277"/>
    </row>
    <row r="12" spans="1:13" ht="28.5">
      <c r="A12" s="124">
        <v>8</v>
      </c>
      <c r="B12" s="269" t="s">
        <v>317</v>
      </c>
      <c r="C12" s="124" t="s">
        <v>301</v>
      </c>
      <c r="D12" s="273" t="s">
        <v>318</v>
      </c>
      <c r="E12" s="278">
        <v>0.40500000000000003</v>
      </c>
      <c r="F12" s="278">
        <v>2.86E-2</v>
      </c>
      <c r="G12" s="279">
        <v>6.6500000000000004E-2</v>
      </c>
      <c r="H12" s="279">
        <v>0.1275</v>
      </c>
      <c r="I12" s="279">
        <v>0.11059999999999999</v>
      </c>
      <c r="J12" s="279">
        <v>0.63500000000000001</v>
      </c>
      <c r="K12" s="279">
        <v>0.8637999999999999</v>
      </c>
      <c r="L12" s="277"/>
      <c r="M12" s="277"/>
    </row>
    <row r="13" spans="1:13">
      <c r="A13" s="124">
        <v>9</v>
      </c>
      <c r="B13" s="269" t="s">
        <v>319</v>
      </c>
      <c r="C13" s="124" t="s">
        <v>320</v>
      </c>
      <c r="D13" s="273" t="s">
        <v>321</v>
      </c>
      <c r="E13" s="278">
        <v>0</v>
      </c>
      <c r="F13" s="278">
        <v>0</v>
      </c>
      <c r="G13" s="279">
        <v>0.95</v>
      </c>
      <c r="H13" s="279">
        <v>0</v>
      </c>
      <c r="I13" s="279">
        <v>0</v>
      </c>
      <c r="J13" s="278">
        <v>0</v>
      </c>
      <c r="K13" s="278">
        <v>0</v>
      </c>
      <c r="L13" s="277"/>
      <c r="M13" s="277"/>
    </row>
    <row r="14" spans="1:13">
      <c r="A14" s="124">
        <v>10</v>
      </c>
      <c r="B14" s="269" t="s">
        <v>322</v>
      </c>
      <c r="C14" s="124" t="s">
        <v>323</v>
      </c>
      <c r="D14" s="273" t="s">
        <v>324</v>
      </c>
      <c r="E14" s="278">
        <v>0</v>
      </c>
      <c r="F14" s="278">
        <v>0</v>
      </c>
      <c r="G14" s="279">
        <v>0</v>
      </c>
      <c r="H14" s="279">
        <v>2E-3</v>
      </c>
      <c r="I14" s="279">
        <v>0</v>
      </c>
      <c r="J14" s="278">
        <v>0</v>
      </c>
      <c r="K14" s="278">
        <v>0</v>
      </c>
      <c r="L14" s="277"/>
      <c r="M14" s="277"/>
    </row>
    <row r="15" spans="1:13" ht="18.75" customHeight="1">
      <c r="A15" s="124">
        <v>11</v>
      </c>
      <c r="B15" s="269" t="s">
        <v>325</v>
      </c>
      <c r="C15" s="124" t="s">
        <v>320</v>
      </c>
      <c r="D15" s="273" t="s">
        <v>326</v>
      </c>
      <c r="E15" s="278">
        <v>0</v>
      </c>
      <c r="F15" s="278">
        <v>0</v>
      </c>
      <c r="G15" s="279">
        <v>0</v>
      </c>
      <c r="H15" s="279">
        <v>0</v>
      </c>
      <c r="I15" s="279">
        <v>0</v>
      </c>
      <c r="J15" s="279">
        <v>0</v>
      </c>
      <c r="K15" s="278">
        <v>0</v>
      </c>
      <c r="L15" s="271"/>
      <c r="M15" s="277"/>
    </row>
    <row r="16" spans="1:13" ht="45">
      <c r="A16" s="124">
        <v>12</v>
      </c>
      <c r="B16" s="269" t="s">
        <v>327</v>
      </c>
      <c r="C16" s="124" t="s">
        <v>323</v>
      </c>
      <c r="D16" s="273" t="s">
        <v>328</v>
      </c>
      <c r="E16" s="278">
        <v>0</v>
      </c>
      <c r="F16" s="278">
        <v>0</v>
      </c>
      <c r="G16" s="279">
        <v>0</v>
      </c>
      <c r="H16" s="279">
        <v>0</v>
      </c>
      <c r="I16" s="279">
        <v>1.5</v>
      </c>
      <c r="J16" s="278">
        <v>0</v>
      </c>
      <c r="K16" s="278">
        <v>0</v>
      </c>
      <c r="L16" s="277"/>
      <c r="M16" s="271" t="s">
        <v>602</v>
      </c>
    </row>
    <row r="17" spans="1:13" ht="28.5">
      <c r="A17" s="124">
        <v>13</v>
      </c>
      <c r="B17" s="269" t="s">
        <v>329</v>
      </c>
      <c r="C17" s="124" t="s">
        <v>330</v>
      </c>
      <c r="D17" s="273" t="s">
        <v>331</v>
      </c>
      <c r="E17" s="278">
        <v>0</v>
      </c>
      <c r="F17" s="278">
        <v>0</v>
      </c>
      <c r="G17" s="279">
        <v>1.5E-3</v>
      </c>
      <c r="H17" s="279">
        <v>2.5999999999999999E-2</v>
      </c>
      <c r="I17" s="279">
        <v>0.03</v>
      </c>
      <c r="J17" s="278">
        <v>2.5999999999999999E-2</v>
      </c>
      <c r="K17" s="278">
        <v>0</v>
      </c>
      <c r="L17" s="277"/>
      <c r="M17" s="277"/>
    </row>
    <row r="18" spans="1:13" ht="28.5">
      <c r="A18" s="124">
        <v>14</v>
      </c>
      <c r="B18" s="269" t="s">
        <v>332</v>
      </c>
      <c r="C18" s="124" t="s">
        <v>323</v>
      </c>
      <c r="D18" s="273" t="s">
        <v>333</v>
      </c>
      <c r="E18" s="278">
        <v>0</v>
      </c>
      <c r="F18" s="278">
        <v>0</v>
      </c>
      <c r="G18" s="279">
        <v>0</v>
      </c>
      <c r="H18" s="279">
        <v>0</v>
      </c>
      <c r="I18" s="279">
        <v>0</v>
      </c>
      <c r="J18" s="278">
        <v>0</v>
      </c>
      <c r="K18" s="278">
        <v>0</v>
      </c>
      <c r="L18" s="277"/>
      <c r="M18" s="277"/>
    </row>
    <row r="19" spans="1:13" ht="28.5">
      <c r="A19" s="124">
        <v>15</v>
      </c>
      <c r="B19" s="269" t="s">
        <v>334</v>
      </c>
      <c r="C19" s="124" t="s">
        <v>320</v>
      </c>
      <c r="D19" s="273" t="s">
        <v>335</v>
      </c>
      <c r="E19" s="278">
        <v>9.5000000000000001E-2</v>
      </c>
      <c r="F19" s="278">
        <v>0</v>
      </c>
      <c r="G19" s="279">
        <v>1.2E-2</v>
      </c>
      <c r="H19" s="279">
        <v>1.4999999999999999E-2</v>
      </c>
      <c r="I19" s="279">
        <v>0.02</v>
      </c>
      <c r="J19" s="278">
        <v>0.06</v>
      </c>
      <c r="K19" s="278">
        <v>0.29125000000000001</v>
      </c>
      <c r="L19" s="277"/>
      <c r="M19" s="277"/>
    </row>
    <row r="20" spans="1:13" ht="28.5">
      <c r="A20" s="124">
        <v>16</v>
      </c>
      <c r="B20" s="269" t="s">
        <v>336</v>
      </c>
      <c r="C20" s="124" t="s">
        <v>337</v>
      </c>
      <c r="D20" s="273" t="s">
        <v>338</v>
      </c>
      <c r="E20" s="278">
        <v>0</v>
      </c>
      <c r="F20" s="278">
        <v>0</v>
      </c>
      <c r="G20" s="279">
        <v>0</v>
      </c>
      <c r="H20" s="279">
        <v>0</v>
      </c>
      <c r="I20" s="279">
        <v>0</v>
      </c>
      <c r="J20" s="278">
        <v>0</v>
      </c>
      <c r="K20" s="278">
        <v>0</v>
      </c>
      <c r="L20" s="277"/>
      <c r="M20" s="277"/>
    </row>
    <row r="21" spans="1:13">
      <c r="A21" s="124">
        <v>17</v>
      </c>
      <c r="B21" s="269" t="s">
        <v>339</v>
      </c>
      <c r="C21" s="273">
        <v>3.2</v>
      </c>
      <c r="D21" s="273" t="s">
        <v>340</v>
      </c>
      <c r="E21" s="278">
        <v>6.2899999999999998E-2</v>
      </c>
      <c r="F21" s="278">
        <v>1.9600000000000003E-2</v>
      </c>
      <c r="G21" s="279">
        <v>2.4500000000000001E-2</v>
      </c>
      <c r="H21" s="279">
        <v>8.270000000000001E-2</v>
      </c>
      <c r="I21" s="279">
        <v>0.12340000000000001</v>
      </c>
      <c r="J21" s="278">
        <v>0.20855000000000001</v>
      </c>
      <c r="K21" s="278">
        <v>0.22889999999999999</v>
      </c>
      <c r="L21" s="277"/>
      <c r="M21" s="277"/>
    </row>
    <row r="22" spans="1:13">
      <c r="A22" s="124">
        <v>18</v>
      </c>
      <c r="B22" s="269" t="s">
        <v>341</v>
      </c>
      <c r="C22" s="124" t="s">
        <v>323</v>
      </c>
      <c r="D22" s="273" t="s">
        <v>342</v>
      </c>
      <c r="E22" s="278">
        <v>0</v>
      </c>
      <c r="F22" s="278">
        <v>0</v>
      </c>
      <c r="G22" s="279">
        <v>0</v>
      </c>
      <c r="H22" s="279">
        <v>0</v>
      </c>
      <c r="I22" s="279">
        <v>0</v>
      </c>
      <c r="J22" s="278">
        <v>0</v>
      </c>
      <c r="K22" s="278">
        <v>0</v>
      </c>
      <c r="L22" s="277"/>
      <c r="M22" s="277"/>
    </row>
    <row r="23" spans="1:13" ht="28.5">
      <c r="A23" s="124">
        <v>19</v>
      </c>
      <c r="B23" s="269" t="s">
        <v>343</v>
      </c>
      <c r="C23" s="124" t="s">
        <v>344</v>
      </c>
      <c r="D23" s="273" t="s">
        <v>345</v>
      </c>
      <c r="E23" s="278">
        <v>0.66320000000000001</v>
      </c>
      <c r="F23" s="278">
        <v>0.1087</v>
      </c>
      <c r="G23" s="279">
        <v>9.0700000000000003E-2</v>
      </c>
      <c r="H23" s="279">
        <v>0.24640000000000001</v>
      </c>
      <c r="I23" s="279">
        <v>0.14780000000000001</v>
      </c>
      <c r="J23" s="278">
        <v>0.75055700000000003</v>
      </c>
      <c r="K23" s="278">
        <v>1.3622999999999998</v>
      </c>
      <c r="L23" s="277"/>
      <c r="M23" s="277"/>
    </row>
    <row r="24" spans="1:13">
      <c r="A24" s="124">
        <v>20</v>
      </c>
      <c r="B24" s="269" t="s">
        <v>346</v>
      </c>
      <c r="C24" s="124" t="s">
        <v>347</v>
      </c>
      <c r="D24" s="273" t="s">
        <v>348</v>
      </c>
      <c r="E24" s="278">
        <v>0</v>
      </c>
      <c r="F24" s="278">
        <v>0</v>
      </c>
      <c r="G24" s="279">
        <v>0</v>
      </c>
      <c r="H24" s="279">
        <v>0.1772</v>
      </c>
      <c r="I24" s="279">
        <v>5.0000000000000001E-3</v>
      </c>
      <c r="J24" s="278">
        <v>0</v>
      </c>
      <c r="K24" s="278">
        <v>0</v>
      </c>
      <c r="L24" s="277"/>
      <c r="M24" s="277"/>
    </row>
    <row r="25" spans="1:13" ht="45">
      <c r="A25" s="124">
        <v>21</v>
      </c>
      <c r="B25" s="269" t="s">
        <v>349</v>
      </c>
      <c r="C25" s="124" t="s">
        <v>320</v>
      </c>
      <c r="D25" s="273" t="s">
        <v>342</v>
      </c>
      <c r="E25" s="278">
        <v>0</v>
      </c>
      <c r="F25" s="278">
        <v>0</v>
      </c>
      <c r="G25" s="279">
        <v>0</v>
      </c>
      <c r="H25" s="279">
        <v>0</v>
      </c>
      <c r="I25" s="279">
        <v>0</v>
      </c>
      <c r="J25" s="278">
        <v>0</v>
      </c>
      <c r="K25" s="278">
        <v>0</v>
      </c>
      <c r="L25" s="277"/>
      <c r="M25" s="271" t="s">
        <v>603</v>
      </c>
    </row>
    <row r="26" spans="1:13">
      <c r="A26" s="124">
        <v>22</v>
      </c>
      <c r="B26" s="269" t="s">
        <v>350</v>
      </c>
      <c r="C26" s="273">
        <v>2.5</v>
      </c>
      <c r="D26" s="273" t="s">
        <v>351</v>
      </c>
      <c r="E26" s="278">
        <v>0</v>
      </c>
      <c r="F26" s="278">
        <v>0</v>
      </c>
      <c r="G26" s="279">
        <v>0</v>
      </c>
      <c r="H26" s="279">
        <v>0</v>
      </c>
      <c r="I26" s="279">
        <v>0</v>
      </c>
      <c r="J26" s="278">
        <v>0</v>
      </c>
      <c r="K26" s="278">
        <v>0</v>
      </c>
      <c r="L26" s="277"/>
      <c r="M26" s="277"/>
    </row>
    <row r="27" spans="1:13">
      <c r="A27" s="124">
        <v>23</v>
      </c>
      <c r="B27" s="269" t="s">
        <v>352</v>
      </c>
      <c r="C27" s="124" t="s">
        <v>330</v>
      </c>
      <c r="D27" s="273" t="s">
        <v>353</v>
      </c>
      <c r="E27" s="278">
        <v>0.21</v>
      </c>
      <c r="F27" s="278">
        <v>0.04</v>
      </c>
      <c r="G27" s="279">
        <v>0</v>
      </c>
      <c r="H27" s="279">
        <v>0</v>
      </c>
      <c r="I27" s="279">
        <v>0</v>
      </c>
      <c r="J27" s="278">
        <v>8.5999999999999993E-2</v>
      </c>
      <c r="K27" s="278">
        <v>0.21</v>
      </c>
      <c r="L27" s="277"/>
      <c r="M27" s="277"/>
    </row>
    <row r="28" spans="1:13">
      <c r="A28" s="124">
        <v>24</v>
      </c>
      <c r="B28" s="269" t="s">
        <v>354</v>
      </c>
      <c r="C28" s="124" t="s">
        <v>323</v>
      </c>
      <c r="D28" s="273" t="s">
        <v>355</v>
      </c>
      <c r="E28" s="278">
        <v>0</v>
      </c>
      <c r="F28" s="278">
        <v>0</v>
      </c>
      <c r="G28" s="279">
        <v>0</v>
      </c>
      <c r="H28" s="279">
        <v>0</v>
      </c>
      <c r="I28" s="279">
        <v>0</v>
      </c>
      <c r="J28" s="278">
        <v>0</v>
      </c>
      <c r="K28" s="278">
        <v>0</v>
      </c>
      <c r="L28" s="277"/>
      <c r="M28" s="277"/>
    </row>
    <row r="29" spans="1:13">
      <c r="A29" s="124">
        <v>25</v>
      </c>
      <c r="B29" s="269" t="s">
        <v>356</v>
      </c>
      <c r="C29" s="273">
        <v>1.8</v>
      </c>
      <c r="D29" s="273" t="s">
        <v>357</v>
      </c>
      <c r="E29" s="278">
        <v>0</v>
      </c>
      <c r="F29" s="278">
        <v>0</v>
      </c>
      <c r="G29" s="279">
        <v>0</v>
      </c>
      <c r="H29" s="279">
        <v>0</v>
      </c>
      <c r="I29" s="279">
        <v>0</v>
      </c>
      <c r="J29" s="279">
        <v>0</v>
      </c>
      <c r="K29" s="278">
        <v>0</v>
      </c>
      <c r="L29" s="277"/>
      <c r="M29" s="277"/>
    </row>
    <row r="30" spans="1:13">
      <c r="A30" s="124">
        <v>26</v>
      </c>
      <c r="B30" s="269" t="s">
        <v>358</v>
      </c>
      <c r="C30" s="124" t="s">
        <v>337</v>
      </c>
      <c r="D30" s="273" t="s">
        <v>359</v>
      </c>
      <c r="E30" s="278">
        <v>0</v>
      </c>
      <c r="F30" s="278">
        <v>0</v>
      </c>
      <c r="G30" s="279">
        <v>0</v>
      </c>
      <c r="H30" s="279">
        <v>0</v>
      </c>
      <c r="I30" s="279">
        <v>0</v>
      </c>
      <c r="J30" s="278">
        <v>0</v>
      </c>
      <c r="K30" s="278">
        <v>0</v>
      </c>
      <c r="L30" s="277"/>
      <c r="M30" s="277"/>
    </row>
    <row r="31" spans="1:13" ht="63.75" customHeight="1">
      <c r="A31" s="124">
        <v>27</v>
      </c>
      <c r="B31" s="269" t="s">
        <v>360</v>
      </c>
      <c r="C31" s="273">
        <v>2.5</v>
      </c>
      <c r="D31" s="273" t="s">
        <v>361</v>
      </c>
      <c r="E31" s="278">
        <v>0</v>
      </c>
      <c r="F31" s="278">
        <v>0</v>
      </c>
      <c r="G31" s="279">
        <v>0</v>
      </c>
      <c r="H31" s="279">
        <v>0</v>
      </c>
      <c r="I31" s="279">
        <v>0</v>
      </c>
      <c r="J31" s="279">
        <v>0</v>
      </c>
      <c r="K31" s="278">
        <v>0</v>
      </c>
      <c r="L31" s="271" t="s">
        <v>605</v>
      </c>
      <c r="M31" s="277"/>
    </row>
    <row r="32" spans="1:13">
      <c r="A32" s="124">
        <v>28</v>
      </c>
      <c r="B32" s="269" t="s">
        <v>362</v>
      </c>
      <c r="C32" s="124" t="s">
        <v>363</v>
      </c>
      <c r="D32" s="273" t="s">
        <v>364</v>
      </c>
      <c r="E32" s="278">
        <v>0</v>
      </c>
      <c r="F32" s="278">
        <v>0</v>
      </c>
      <c r="G32" s="279">
        <v>0</v>
      </c>
      <c r="H32" s="279">
        <v>0</v>
      </c>
      <c r="I32" s="279">
        <v>0</v>
      </c>
      <c r="J32" s="279">
        <v>0</v>
      </c>
      <c r="K32" s="278">
        <v>0</v>
      </c>
      <c r="L32" s="277"/>
      <c r="M32" s="277"/>
    </row>
    <row r="33" spans="1:13">
      <c r="A33" s="124">
        <v>29</v>
      </c>
      <c r="B33" s="269" t="s">
        <v>365</v>
      </c>
      <c r="C33" s="124" t="s">
        <v>323</v>
      </c>
      <c r="D33" s="273" t="s">
        <v>366</v>
      </c>
      <c r="E33" s="278">
        <v>0.03</v>
      </c>
      <c r="F33" s="278">
        <v>0</v>
      </c>
      <c r="G33" s="279">
        <v>0</v>
      </c>
      <c r="H33" s="279">
        <v>5.0000000000000001E-3</v>
      </c>
      <c r="I33" s="279">
        <v>3.0000000000000001E-3</v>
      </c>
      <c r="J33" s="279">
        <v>0.09</v>
      </c>
      <c r="K33" s="278">
        <v>5.8000000000000003E-2</v>
      </c>
      <c r="L33" s="277"/>
      <c r="M33" s="277"/>
    </row>
    <row r="34" spans="1:13" ht="45">
      <c r="A34" s="124">
        <v>30</v>
      </c>
      <c r="B34" s="269" t="s">
        <v>367</v>
      </c>
      <c r="C34" s="124" t="s">
        <v>330</v>
      </c>
      <c r="D34" s="273" t="s">
        <v>368</v>
      </c>
      <c r="E34" s="278">
        <v>0.96899999999999997</v>
      </c>
      <c r="F34" s="278">
        <v>0</v>
      </c>
      <c r="G34" s="279">
        <v>0</v>
      </c>
      <c r="H34" s="279">
        <v>0</v>
      </c>
      <c r="I34" s="280">
        <v>0.48</v>
      </c>
      <c r="J34" s="279">
        <v>0.14899999999999999</v>
      </c>
      <c r="K34" s="278">
        <v>0.96899999999999997</v>
      </c>
      <c r="L34" s="277"/>
      <c r="M34" s="271" t="s">
        <v>604</v>
      </c>
    </row>
  </sheetData>
  <mergeCells count="9">
    <mergeCell ref="M2:M3"/>
    <mergeCell ref="A1:L1"/>
    <mergeCell ref="A2:A3"/>
    <mergeCell ref="B2:B3"/>
    <mergeCell ref="C2:C3"/>
    <mergeCell ref="D2:D3"/>
    <mergeCell ref="E2:F2"/>
    <mergeCell ref="G2:K2"/>
    <mergeCell ref="L2:L3"/>
  </mergeCells>
  <pageMargins left="0.70866141732283472" right="0.70866141732283472" top="0.74803149606299213" bottom="0.74803149606299213" header="0.31496062992125984" footer="0.31496062992125984"/>
  <pageSetup paperSize="9" scale="6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7">
    <tabColor rgb="FFFF0000"/>
  </sheetPr>
  <dimension ref="A1:O106"/>
  <sheetViews>
    <sheetView zoomScale="80" zoomScaleNormal="80" workbookViewId="0">
      <pane xSplit="4" ySplit="5" topLeftCell="E99" activePane="bottomRight" state="frozen"/>
      <selection pane="topRight" activeCell="E1" sqref="E1"/>
      <selection pane="bottomLeft" activeCell="A6" sqref="A6"/>
      <selection pane="bottomRight" activeCell="A3" sqref="A3:J3"/>
    </sheetView>
  </sheetViews>
  <sheetFormatPr defaultRowHeight="15"/>
  <cols>
    <col min="1" max="1" width="4.140625" style="89" customWidth="1"/>
    <col min="2" max="2" width="36" style="155" customWidth="1"/>
    <col min="3" max="3" width="5.5703125" style="155" customWidth="1"/>
    <col min="4" max="4" width="14" style="155" customWidth="1"/>
    <col min="5" max="5" width="12" style="155" customWidth="1"/>
    <col min="6" max="6" width="11.5703125" style="155" customWidth="1"/>
    <col min="7" max="7" width="13.42578125" style="155" customWidth="1"/>
    <col min="8" max="8" width="12.7109375" style="155" customWidth="1"/>
    <col min="9" max="9" width="12" style="155" customWidth="1"/>
    <col min="10" max="10" width="13" style="155" customWidth="1"/>
    <col min="11" max="16384" width="9.140625" style="89"/>
  </cols>
  <sheetData>
    <row r="1" spans="1:15">
      <c r="E1" s="362"/>
      <c r="F1" s="362"/>
      <c r="I1" s="362" t="s">
        <v>241</v>
      </c>
      <c r="J1" s="362"/>
    </row>
    <row r="2" spans="1:15" ht="15.75" thickBot="1"/>
    <row r="3" spans="1:15" ht="22.5" customHeight="1">
      <c r="A3" s="363" t="s">
        <v>606</v>
      </c>
      <c r="B3" s="364"/>
      <c r="C3" s="364"/>
      <c r="D3" s="364"/>
      <c r="E3" s="364"/>
      <c r="F3" s="364"/>
      <c r="G3" s="364"/>
      <c r="H3" s="364"/>
      <c r="I3" s="364"/>
      <c r="J3" s="365"/>
      <c r="K3" s="96"/>
      <c r="L3" s="96"/>
      <c r="M3" s="96"/>
      <c r="N3" s="96"/>
      <c r="O3" s="96"/>
    </row>
    <row r="4" spans="1:15" ht="49.5" customHeight="1">
      <c r="A4" s="366" t="s">
        <v>0</v>
      </c>
      <c r="B4" s="367" t="s">
        <v>240</v>
      </c>
      <c r="C4" s="367" t="s">
        <v>239</v>
      </c>
      <c r="D4" s="368" t="s">
        <v>238</v>
      </c>
      <c r="E4" s="368" t="s">
        <v>237</v>
      </c>
      <c r="F4" s="368" t="s">
        <v>236</v>
      </c>
      <c r="G4" s="368"/>
      <c r="H4" s="368"/>
      <c r="I4" s="368"/>
      <c r="J4" s="369"/>
      <c r="K4" s="96"/>
      <c r="L4" s="96"/>
      <c r="M4" s="96"/>
      <c r="N4" s="96"/>
      <c r="O4" s="96"/>
    </row>
    <row r="5" spans="1:15" ht="33" customHeight="1">
      <c r="A5" s="366"/>
      <c r="B5" s="367"/>
      <c r="C5" s="367"/>
      <c r="D5" s="368"/>
      <c r="E5" s="368"/>
      <c r="F5" s="214" t="s">
        <v>20</v>
      </c>
      <c r="G5" s="214" t="s">
        <v>21</v>
      </c>
      <c r="H5" s="214" t="s">
        <v>22</v>
      </c>
      <c r="I5" s="214" t="s">
        <v>23</v>
      </c>
      <c r="J5" s="218" t="s">
        <v>24</v>
      </c>
    </row>
    <row r="6" spans="1:15" ht="13.5" customHeight="1">
      <c r="A6" s="219">
        <v>1</v>
      </c>
      <c r="B6" s="95">
        <v>2</v>
      </c>
      <c r="C6" s="95">
        <v>3</v>
      </c>
      <c r="D6" s="95">
        <v>4</v>
      </c>
      <c r="E6" s="95">
        <v>5</v>
      </c>
      <c r="F6" s="95">
        <v>6</v>
      </c>
      <c r="G6" s="156">
        <v>7</v>
      </c>
      <c r="H6" s="157">
        <v>8</v>
      </c>
      <c r="I6" s="157">
        <v>9</v>
      </c>
      <c r="J6" s="220">
        <v>10</v>
      </c>
    </row>
    <row r="7" spans="1:15" s="91" customFormat="1" ht="15.75" customHeight="1">
      <c r="A7" s="366">
        <v>1</v>
      </c>
      <c r="B7" s="94" t="s">
        <v>235</v>
      </c>
      <c r="C7" s="367" t="s">
        <v>231</v>
      </c>
      <c r="D7" s="197">
        <v>0</v>
      </c>
      <c r="E7" s="197">
        <v>0</v>
      </c>
      <c r="F7" s="197">
        <v>0</v>
      </c>
      <c r="G7" s="197">
        <v>0</v>
      </c>
      <c r="H7" s="197">
        <v>0</v>
      </c>
      <c r="I7" s="197">
        <v>0</v>
      </c>
      <c r="J7" s="221">
        <v>0</v>
      </c>
    </row>
    <row r="8" spans="1:15" ht="13.5" customHeight="1">
      <c r="A8" s="366"/>
      <c r="B8" s="90" t="s">
        <v>209</v>
      </c>
      <c r="C8" s="367"/>
      <c r="D8" s="198">
        <v>0</v>
      </c>
      <c r="E8" s="198">
        <v>0</v>
      </c>
      <c r="F8" s="198">
        <v>0</v>
      </c>
      <c r="G8" s="198">
        <v>0</v>
      </c>
      <c r="H8" s="198">
        <v>0</v>
      </c>
      <c r="I8" s="198">
        <v>0</v>
      </c>
      <c r="J8" s="222">
        <v>0</v>
      </c>
    </row>
    <row r="9" spans="1:15" ht="13.5" customHeight="1">
      <c r="A9" s="366"/>
      <c r="B9" s="90" t="s">
        <v>219</v>
      </c>
      <c r="C9" s="367"/>
      <c r="D9" s="198">
        <v>0</v>
      </c>
      <c r="E9" s="198">
        <v>0</v>
      </c>
      <c r="F9" s="198">
        <v>0</v>
      </c>
      <c r="G9" s="198">
        <v>0</v>
      </c>
      <c r="H9" s="198">
        <v>0</v>
      </c>
      <c r="I9" s="198">
        <v>0</v>
      </c>
      <c r="J9" s="222">
        <v>0</v>
      </c>
    </row>
    <row r="10" spans="1:15" ht="13.5" customHeight="1">
      <c r="A10" s="366"/>
      <c r="B10" s="93" t="s">
        <v>218</v>
      </c>
      <c r="C10" s="367"/>
      <c r="D10" s="198">
        <v>0</v>
      </c>
      <c r="E10" s="198">
        <v>0</v>
      </c>
      <c r="F10" s="198">
        <v>0</v>
      </c>
      <c r="G10" s="198">
        <v>0</v>
      </c>
      <c r="H10" s="198">
        <v>0</v>
      </c>
      <c r="I10" s="198">
        <v>0</v>
      </c>
      <c r="J10" s="222">
        <v>0</v>
      </c>
    </row>
    <row r="11" spans="1:15" ht="13.5" customHeight="1">
      <c r="A11" s="366"/>
      <c r="B11" s="93" t="s">
        <v>217</v>
      </c>
      <c r="C11" s="367"/>
      <c r="D11" s="198">
        <v>0</v>
      </c>
      <c r="E11" s="198">
        <v>0</v>
      </c>
      <c r="F11" s="198">
        <v>0</v>
      </c>
      <c r="G11" s="198">
        <v>0</v>
      </c>
      <c r="H11" s="198">
        <v>0</v>
      </c>
      <c r="I11" s="198">
        <v>0</v>
      </c>
      <c r="J11" s="222">
        <v>0</v>
      </c>
    </row>
    <row r="12" spans="1:15" ht="13.5" customHeight="1">
      <c r="A12" s="366"/>
      <c r="B12" s="90" t="s">
        <v>216</v>
      </c>
      <c r="C12" s="367"/>
      <c r="D12" s="198">
        <v>0</v>
      </c>
      <c r="E12" s="198">
        <v>0</v>
      </c>
      <c r="F12" s="198">
        <v>0</v>
      </c>
      <c r="G12" s="198">
        <v>0</v>
      </c>
      <c r="H12" s="198">
        <v>0</v>
      </c>
      <c r="I12" s="198">
        <v>0</v>
      </c>
      <c r="J12" s="222">
        <v>0</v>
      </c>
    </row>
    <row r="13" spans="1:15" s="91" customFormat="1">
      <c r="A13" s="366">
        <v>2</v>
      </c>
      <c r="B13" s="94" t="s">
        <v>234</v>
      </c>
      <c r="C13" s="367" t="s">
        <v>231</v>
      </c>
      <c r="D13" s="197">
        <v>16.8</v>
      </c>
      <c r="E13" s="197">
        <v>2.2999999999999998</v>
      </c>
      <c r="F13" s="197">
        <v>16.8</v>
      </c>
      <c r="G13" s="197">
        <v>16.8</v>
      </c>
      <c r="H13" s="197">
        <v>16.8</v>
      </c>
      <c r="I13" s="197">
        <v>16.8</v>
      </c>
      <c r="J13" s="221">
        <v>16.8</v>
      </c>
    </row>
    <row r="14" spans="1:15" ht="13.5" customHeight="1">
      <c r="A14" s="366"/>
      <c r="B14" s="90" t="s">
        <v>209</v>
      </c>
      <c r="C14" s="367"/>
      <c r="D14" s="198">
        <f>D13-D15-D16</f>
        <v>2.5140000000000002</v>
      </c>
      <c r="E14" s="198">
        <v>0</v>
      </c>
      <c r="F14" s="198">
        <f>D14+E16</f>
        <v>4.8140000000000001</v>
      </c>
      <c r="G14" s="198">
        <v>5.0140000000000002</v>
      </c>
      <c r="H14" s="198">
        <v>5.2140000000000004</v>
      </c>
      <c r="I14" s="198">
        <v>5.4139999999999997</v>
      </c>
      <c r="J14" s="222">
        <v>5.6139999999999999</v>
      </c>
    </row>
    <row r="15" spans="1:15" ht="13.5" customHeight="1">
      <c r="A15" s="366"/>
      <c r="B15" s="90" t="s">
        <v>219</v>
      </c>
      <c r="C15" s="367"/>
      <c r="D15" s="198">
        <v>11.086</v>
      </c>
      <c r="E15" s="198">
        <v>0</v>
      </c>
      <c r="F15" s="198">
        <f>F13-F14-F16</f>
        <v>11.086</v>
      </c>
      <c r="G15" s="198">
        <f t="shared" ref="G15:J15" si="0">G13-G14-G16</f>
        <v>11.086000000000002</v>
      </c>
      <c r="H15" s="198">
        <f t="shared" si="0"/>
        <v>11.086</v>
      </c>
      <c r="I15" s="198">
        <f t="shared" si="0"/>
        <v>11.086</v>
      </c>
      <c r="J15" s="222">
        <f t="shared" si="0"/>
        <v>11.086</v>
      </c>
    </row>
    <row r="16" spans="1:15" ht="13.5" customHeight="1">
      <c r="A16" s="366"/>
      <c r="B16" s="93" t="s">
        <v>218</v>
      </c>
      <c r="C16" s="367"/>
      <c r="D16" s="198">
        <v>3.2</v>
      </c>
      <c r="E16" s="198">
        <v>2.2999999999999998</v>
      </c>
      <c r="F16" s="198">
        <f>D16-E16</f>
        <v>0.90000000000000036</v>
      </c>
      <c r="G16" s="198">
        <v>0.7</v>
      </c>
      <c r="H16" s="198">
        <v>0.5</v>
      </c>
      <c r="I16" s="198">
        <v>0.3</v>
      </c>
      <c r="J16" s="222">
        <v>0.1</v>
      </c>
    </row>
    <row r="17" spans="1:10" ht="13.5" customHeight="1">
      <c r="A17" s="366"/>
      <c r="B17" s="93" t="s">
        <v>217</v>
      </c>
      <c r="C17" s="367"/>
      <c r="D17" s="198">
        <v>0</v>
      </c>
      <c r="E17" s="198">
        <v>0</v>
      </c>
      <c r="F17" s="198">
        <v>0</v>
      </c>
      <c r="G17" s="198">
        <v>0</v>
      </c>
      <c r="H17" s="198">
        <v>0</v>
      </c>
      <c r="I17" s="198">
        <v>0</v>
      </c>
      <c r="J17" s="222">
        <v>0</v>
      </c>
    </row>
    <row r="18" spans="1:10" ht="13.5" customHeight="1">
      <c r="A18" s="366"/>
      <c r="B18" s="90" t="s">
        <v>216</v>
      </c>
      <c r="C18" s="367"/>
      <c r="D18" s="198">
        <v>0</v>
      </c>
      <c r="E18" s="198">
        <v>0</v>
      </c>
      <c r="F18" s="198">
        <v>0</v>
      </c>
      <c r="G18" s="198">
        <v>0</v>
      </c>
      <c r="H18" s="198">
        <v>0</v>
      </c>
      <c r="I18" s="198">
        <v>0</v>
      </c>
      <c r="J18" s="222">
        <v>0</v>
      </c>
    </row>
    <row r="19" spans="1:10" s="91" customFormat="1">
      <c r="A19" s="366">
        <v>3</v>
      </c>
      <c r="B19" s="94" t="s">
        <v>233</v>
      </c>
      <c r="C19" s="367" t="s">
        <v>231</v>
      </c>
      <c r="D19" s="197">
        <v>148.72999999999999</v>
      </c>
      <c r="E19" s="197">
        <f>E20+E21+E22</f>
        <v>0</v>
      </c>
      <c r="F19" s="197">
        <v>148.72999999999999</v>
      </c>
      <c r="G19" s="197">
        <v>148.72999999999999</v>
      </c>
      <c r="H19" s="197">
        <v>148.72999999999999</v>
      </c>
      <c r="I19" s="197">
        <v>148.72999999999999</v>
      </c>
      <c r="J19" s="221">
        <v>148.72999999999999</v>
      </c>
    </row>
    <row r="20" spans="1:10" ht="13.5" customHeight="1">
      <c r="A20" s="366"/>
      <c r="B20" s="90" t="s">
        <v>209</v>
      </c>
      <c r="C20" s="367"/>
      <c r="D20" s="198">
        <f>D19-D21-D22</f>
        <v>97.611999999999995</v>
      </c>
      <c r="E20" s="198">
        <v>0</v>
      </c>
      <c r="F20" s="198">
        <f>F19-F21-F22</f>
        <v>97.611999999999995</v>
      </c>
      <c r="G20" s="198">
        <v>98.929999999999993</v>
      </c>
      <c r="H20" s="198">
        <v>99.53</v>
      </c>
      <c r="I20" s="198">
        <v>99.73</v>
      </c>
      <c r="J20" s="222">
        <v>99.93</v>
      </c>
    </row>
    <row r="21" spans="1:10" ht="13.5" customHeight="1">
      <c r="A21" s="366"/>
      <c r="B21" s="90" t="s">
        <v>219</v>
      </c>
      <c r="C21" s="367"/>
      <c r="D21" s="198">
        <v>48.6</v>
      </c>
      <c r="E21" s="198">
        <v>0</v>
      </c>
      <c r="F21" s="198">
        <v>48.6</v>
      </c>
      <c r="G21" s="199">
        <v>48.6</v>
      </c>
      <c r="H21" s="199">
        <v>48.6</v>
      </c>
      <c r="I21" s="199">
        <v>48.6</v>
      </c>
      <c r="J21" s="223">
        <v>48.6</v>
      </c>
    </row>
    <row r="22" spans="1:10" ht="13.5" customHeight="1">
      <c r="A22" s="366"/>
      <c r="B22" s="93" t="s">
        <v>218</v>
      </c>
      <c r="C22" s="367"/>
      <c r="D22" s="198">
        <v>2.5179999999999998</v>
      </c>
      <c r="E22" s="198">
        <v>0</v>
      </c>
      <c r="F22" s="198">
        <v>2.5179999999999998</v>
      </c>
      <c r="G22" s="198">
        <v>1.2</v>
      </c>
      <c r="H22" s="198">
        <v>0.6</v>
      </c>
      <c r="I22" s="198">
        <v>0.4</v>
      </c>
      <c r="J22" s="222">
        <v>0.2</v>
      </c>
    </row>
    <row r="23" spans="1:10" ht="13.5" customHeight="1">
      <c r="A23" s="366"/>
      <c r="B23" s="93" t="s">
        <v>217</v>
      </c>
      <c r="C23" s="367"/>
      <c r="D23" s="198">
        <v>0</v>
      </c>
      <c r="E23" s="198">
        <v>0</v>
      </c>
      <c r="F23" s="198">
        <v>0</v>
      </c>
      <c r="G23" s="198">
        <v>0</v>
      </c>
      <c r="H23" s="198">
        <v>0</v>
      </c>
      <c r="I23" s="198">
        <v>0</v>
      </c>
      <c r="J23" s="222">
        <v>0</v>
      </c>
    </row>
    <row r="24" spans="1:10" ht="13.5" customHeight="1">
      <c r="A24" s="366"/>
      <c r="B24" s="90" t="s">
        <v>216</v>
      </c>
      <c r="C24" s="367"/>
      <c r="D24" s="198">
        <v>0</v>
      </c>
      <c r="E24" s="198">
        <v>0</v>
      </c>
      <c r="F24" s="198">
        <v>0</v>
      </c>
      <c r="G24" s="198">
        <v>0</v>
      </c>
      <c r="H24" s="198">
        <v>0</v>
      </c>
      <c r="I24" s="198">
        <v>0</v>
      </c>
      <c r="J24" s="222">
        <v>0</v>
      </c>
    </row>
    <row r="25" spans="1:10" s="91" customFormat="1" ht="18.75" customHeight="1">
      <c r="A25" s="366">
        <v>4</v>
      </c>
      <c r="B25" s="94" t="s">
        <v>232</v>
      </c>
      <c r="C25" s="367" t="s">
        <v>231</v>
      </c>
      <c r="D25" s="197">
        <v>149.26</v>
      </c>
      <c r="E25" s="197">
        <f>E26+E27+E28</f>
        <v>7.54</v>
      </c>
      <c r="F25" s="197">
        <v>149.26</v>
      </c>
      <c r="G25" s="197">
        <v>149.26</v>
      </c>
      <c r="H25" s="197">
        <v>149.26</v>
      </c>
      <c r="I25" s="197">
        <f>H25+0.43</f>
        <v>149.69</v>
      </c>
      <c r="J25" s="221">
        <v>149.69</v>
      </c>
    </row>
    <row r="26" spans="1:10" ht="18" customHeight="1">
      <c r="A26" s="366"/>
      <c r="B26" s="90" t="s">
        <v>209</v>
      </c>
      <c r="C26" s="367"/>
      <c r="D26" s="198">
        <f>D25-D27-D28</f>
        <v>76.430000000000007</v>
      </c>
      <c r="E26" s="198">
        <v>0</v>
      </c>
      <c r="F26" s="198">
        <f>F25-F27-F28</f>
        <v>83.97</v>
      </c>
      <c r="G26" s="198">
        <f>F26+2.52</f>
        <v>86.49</v>
      </c>
      <c r="H26" s="198">
        <f>G26+0.3</f>
        <v>86.789999999999992</v>
      </c>
      <c r="I26" s="198">
        <f>87.09+0.43</f>
        <v>87.52000000000001</v>
      </c>
      <c r="J26" s="222">
        <f>I26+0.6</f>
        <v>88.12</v>
      </c>
    </row>
    <row r="27" spans="1:10" ht="13.5" customHeight="1">
      <c r="A27" s="366"/>
      <c r="B27" s="90" t="s">
        <v>219</v>
      </c>
      <c r="C27" s="367"/>
      <c r="D27" s="198">
        <f>63.05-1.04</f>
        <v>62.01</v>
      </c>
      <c r="E27" s="198">
        <v>1.04</v>
      </c>
      <c r="F27" s="198">
        <f>D27-E27</f>
        <v>60.97</v>
      </c>
      <c r="G27" s="199">
        <f>F27</f>
        <v>60.97</v>
      </c>
      <c r="H27" s="199">
        <f>G27</f>
        <v>60.97</v>
      </c>
      <c r="I27" s="199">
        <v>60.97</v>
      </c>
      <c r="J27" s="223">
        <v>60.97</v>
      </c>
    </row>
    <row r="28" spans="1:10" ht="13.5" customHeight="1">
      <c r="A28" s="366"/>
      <c r="B28" s="93" t="s">
        <v>218</v>
      </c>
      <c r="C28" s="367"/>
      <c r="D28" s="198">
        <v>10.82</v>
      </c>
      <c r="E28" s="198">
        <v>6.5</v>
      </c>
      <c r="F28" s="198">
        <f>D28-E28</f>
        <v>4.32</v>
      </c>
      <c r="G28" s="198">
        <v>1.8</v>
      </c>
      <c r="H28" s="198">
        <v>1.5</v>
      </c>
      <c r="I28" s="198">
        <v>1.2</v>
      </c>
      <c r="J28" s="222">
        <v>0.6</v>
      </c>
    </row>
    <row r="29" spans="1:10" ht="13.5" customHeight="1">
      <c r="A29" s="366"/>
      <c r="B29" s="93" t="s">
        <v>217</v>
      </c>
      <c r="C29" s="367"/>
      <c r="D29" s="198">
        <v>0</v>
      </c>
      <c r="E29" s="198">
        <v>0</v>
      </c>
      <c r="F29" s="198">
        <v>0</v>
      </c>
      <c r="G29" s="199">
        <v>0</v>
      </c>
      <c r="H29" s="199">
        <v>0</v>
      </c>
      <c r="I29" s="199">
        <v>0</v>
      </c>
      <c r="J29" s="223">
        <v>0</v>
      </c>
    </row>
    <row r="30" spans="1:10" ht="13.5" customHeight="1">
      <c r="A30" s="366"/>
      <c r="B30" s="90" t="s">
        <v>216</v>
      </c>
      <c r="C30" s="367"/>
      <c r="D30" s="198">
        <v>0</v>
      </c>
      <c r="E30" s="198">
        <v>0</v>
      </c>
      <c r="F30" s="198">
        <v>0</v>
      </c>
      <c r="G30" s="199">
        <v>0</v>
      </c>
      <c r="H30" s="199">
        <v>0</v>
      </c>
      <c r="I30" s="199">
        <v>0</v>
      </c>
      <c r="J30" s="223">
        <v>0</v>
      </c>
    </row>
    <row r="31" spans="1:10" s="91" customFormat="1">
      <c r="A31" s="366">
        <v>5</v>
      </c>
      <c r="B31" s="94" t="s">
        <v>230</v>
      </c>
      <c r="C31" s="367" t="s">
        <v>224</v>
      </c>
      <c r="D31" s="197">
        <v>637.97</v>
      </c>
      <c r="E31" s="197">
        <f>E32+E33+E34</f>
        <v>7.8</v>
      </c>
      <c r="F31" s="197">
        <v>637.97</v>
      </c>
      <c r="G31" s="197">
        <v>638.97</v>
      </c>
      <c r="H31" s="197">
        <v>638.97</v>
      </c>
      <c r="I31" s="197">
        <v>638.97</v>
      </c>
      <c r="J31" s="221">
        <v>639.97</v>
      </c>
    </row>
    <row r="32" spans="1:10" ht="16.5" customHeight="1">
      <c r="A32" s="366"/>
      <c r="B32" s="90" t="s">
        <v>209</v>
      </c>
      <c r="C32" s="367"/>
      <c r="D32" s="198">
        <f>D31-D33-D34</f>
        <v>417.86</v>
      </c>
      <c r="E32" s="200">
        <v>0</v>
      </c>
      <c r="F32" s="200">
        <f>D32+E34</f>
        <v>425.66</v>
      </c>
      <c r="G32" s="200">
        <f>F32+1.2+1.03+6.08+1</f>
        <v>434.96999999999997</v>
      </c>
      <c r="H32" s="200">
        <f>G32+1.2</f>
        <v>436.16999999999996</v>
      </c>
      <c r="I32" s="200">
        <f>H32+1</f>
        <v>437.16999999999996</v>
      </c>
      <c r="J32" s="224">
        <f>I32+1.2+0.425+1</f>
        <v>439.79499999999996</v>
      </c>
    </row>
    <row r="33" spans="1:10" ht="13.5" customHeight="1">
      <c r="A33" s="366"/>
      <c r="B33" s="90" t="s">
        <v>219</v>
      </c>
      <c r="C33" s="367"/>
      <c r="D33" s="200">
        <v>206.71</v>
      </c>
      <c r="E33" s="200">
        <v>0</v>
      </c>
      <c r="F33" s="200">
        <v>206.71</v>
      </c>
      <c r="G33" s="200">
        <f>F33-1.03-6.08</f>
        <v>199.6</v>
      </c>
      <c r="H33" s="200">
        <v>199.6</v>
      </c>
      <c r="I33" s="200">
        <v>199.6</v>
      </c>
      <c r="J33" s="224">
        <f>I33-0.425</f>
        <v>199.17499999999998</v>
      </c>
    </row>
    <row r="34" spans="1:10" ht="13.5" customHeight="1">
      <c r="A34" s="366"/>
      <c r="B34" s="93" t="s">
        <v>218</v>
      </c>
      <c r="C34" s="367"/>
      <c r="D34" s="200">
        <v>13.4</v>
      </c>
      <c r="E34" s="198">
        <v>7.8</v>
      </c>
      <c r="F34" s="198">
        <f>D34-E34</f>
        <v>5.6000000000000005</v>
      </c>
      <c r="G34" s="199">
        <v>4.4000000000000004</v>
      </c>
      <c r="H34" s="199">
        <v>3.2</v>
      </c>
      <c r="I34" s="199">
        <v>2.2000000000000002</v>
      </c>
      <c r="J34" s="223">
        <v>1</v>
      </c>
    </row>
    <row r="35" spans="1:10" ht="13.5" customHeight="1">
      <c r="A35" s="366"/>
      <c r="B35" s="93" t="s">
        <v>217</v>
      </c>
      <c r="C35" s="367"/>
      <c r="D35" s="200">
        <v>0</v>
      </c>
      <c r="E35" s="198">
        <v>0</v>
      </c>
      <c r="F35" s="198">
        <v>0</v>
      </c>
      <c r="G35" s="199">
        <v>0</v>
      </c>
      <c r="H35" s="199">
        <v>0</v>
      </c>
      <c r="I35" s="199">
        <v>0</v>
      </c>
      <c r="J35" s="223">
        <v>0</v>
      </c>
    </row>
    <row r="36" spans="1:10" ht="13.5" customHeight="1">
      <c r="A36" s="366"/>
      <c r="B36" s="90" t="s">
        <v>216</v>
      </c>
      <c r="C36" s="367"/>
      <c r="D36" s="200">
        <v>0</v>
      </c>
      <c r="E36" s="198">
        <v>0</v>
      </c>
      <c r="F36" s="198">
        <v>0</v>
      </c>
      <c r="G36" s="199">
        <v>0</v>
      </c>
      <c r="H36" s="199">
        <v>0</v>
      </c>
      <c r="I36" s="199">
        <v>0</v>
      </c>
      <c r="J36" s="223">
        <v>0</v>
      </c>
    </row>
    <row r="37" spans="1:10" s="91" customFormat="1" ht="15" customHeight="1">
      <c r="A37" s="366">
        <v>6</v>
      </c>
      <c r="B37" s="94" t="s">
        <v>229</v>
      </c>
      <c r="C37" s="367" t="s">
        <v>224</v>
      </c>
      <c r="D37" s="197">
        <v>0</v>
      </c>
      <c r="E37" s="197">
        <v>0</v>
      </c>
      <c r="F37" s="197">
        <v>0</v>
      </c>
      <c r="G37" s="197">
        <v>0</v>
      </c>
      <c r="H37" s="197">
        <v>0</v>
      </c>
      <c r="I37" s="197">
        <v>0</v>
      </c>
      <c r="J37" s="221">
        <v>0</v>
      </c>
    </row>
    <row r="38" spans="1:10" ht="13.5" customHeight="1">
      <c r="A38" s="366"/>
      <c r="B38" s="90" t="s">
        <v>209</v>
      </c>
      <c r="C38" s="367"/>
      <c r="D38" s="198">
        <v>0</v>
      </c>
      <c r="E38" s="198">
        <v>0</v>
      </c>
      <c r="F38" s="198">
        <v>0</v>
      </c>
      <c r="G38" s="198">
        <v>0</v>
      </c>
      <c r="H38" s="198">
        <v>0</v>
      </c>
      <c r="I38" s="198">
        <v>0</v>
      </c>
      <c r="J38" s="222">
        <v>0</v>
      </c>
    </row>
    <row r="39" spans="1:10" ht="13.5" customHeight="1">
      <c r="A39" s="366"/>
      <c r="B39" s="90" t="s">
        <v>219</v>
      </c>
      <c r="C39" s="367"/>
      <c r="D39" s="198">
        <v>0</v>
      </c>
      <c r="E39" s="198">
        <v>0</v>
      </c>
      <c r="F39" s="198">
        <v>0</v>
      </c>
      <c r="G39" s="198">
        <v>0</v>
      </c>
      <c r="H39" s="198">
        <v>0</v>
      </c>
      <c r="I39" s="198">
        <v>0</v>
      </c>
      <c r="J39" s="222">
        <v>0</v>
      </c>
    </row>
    <row r="40" spans="1:10">
      <c r="A40" s="366"/>
      <c r="B40" s="93" t="s">
        <v>218</v>
      </c>
      <c r="C40" s="367"/>
      <c r="D40" s="198">
        <v>0</v>
      </c>
      <c r="E40" s="198">
        <v>0</v>
      </c>
      <c r="F40" s="198">
        <v>0</v>
      </c>
      <c r="G40" s="198">
        <v>0</v>
      </c>
      <c r="H40" s="198">
        <v>0</v>
      </c>
      <c r="I40" s="198">
        <v>0</v>
      </c>
      <c r="J40" s="222">
        <v>0</v>
      </c>
    </row>
    <row r="41" spans="1:10" ht="13.5" customHeight="1">
      <c r="A41" s="366"/>
      <c r="B41" s="90" t="s">
        <v>217</v>
      </c>
      <c r="C41" s="367"/>
      <c r="D41" s="198">
        <v>0</v>
      </c>
      <c r="E41" s="198">
        <v>0</v>
      </c>
      <c r="F41" s="198">
        <v>0</v>
      </c>
      <c r="G41" s="198">
        <v>0</v>
      </c>
      <c r="H41" s="198">
        <v>0</v>
      </c>
      <c r="I41" s="198">
        <v>0</v>
      </c>
      <c r="J41" s="222">
        <v>0</v>
      </c>
    </row>
    <row r="42" spans="1:10" ht="13.5" customHeight="1">
      <c r="A42" s="366"/>
      <c r="B42" s="90" t="s">
        <v>216</v>
      </c>
      <c r="C42" s="367"/>
      <c r="D42" s="198">
        <v>0</v>
      </c>
      <c r="E42" s="198">
        <v>0</v>
      </c>
      <c r="F42" s="198">
        <v>0</v>
      </c>
      <c r="G42" s="198">
        <v>0</v>
      </c>
      <c r="H42" s="198">
        <v>0</v>
      </c>
      <c r="I42" s="198">
        <v>0</v>
      </c>
      <c r="J42" s="222">
        <v>0</v>
      </c>
    </row>
    <row r="43" spans="1:10" s="91" customFormat="1">
      <c r="A43" s="366">
        <v>7</v>
      </c>
      <c r="B43" s="94" t="s">
        <v>228</v>
      </c>
      <c r="C43" s="367" t="s">
        <v>224</v>
      </c>
      <c r="D43" s="197">
        <v>0</v>
      </c>
      <c r="E43" s="197">
        <v>0</v>
      </c>
      <c r="F43" s="197">
        <v>0</v>
      </c>
      <c r="G43" s="197">
        <v>0</v>
      </c>
      <c r="H43" s="197">
        <v>0</v>
      </c>
      <c r="I43" s="197">
        <v>0</v>
      </c>
      <c r="J43" s="221">
        <v>0</v>
      </c>
    </row>
    <row r="44" spans="1:10" ht="13.5" customHeight="1">
      <c r="A44" s="366"/>
      <c r="B44" s="90" t="s">
        <v>209</v>
      </c>
      <c r="C44" s="367"/>
      <c r="D44" s="198">
        <v>0</v>
      </c>
      <c r="E44" s="198">
        <v>0</v>
      </c>
      <c r="F44" s="198">
        <v>0</v>
      </c>
      <c r="G44" s="198">
        <v>0</v>
      </c>
      <c r="H44" s="198">
        <v>0</v>
      </c>
      <c r="I44" s="198">
        <v>0</v>
      </c>
      <c r="J44" s="222">
        <v>0</v>
      </c>
    </row>
    <row r="45" spans="1:10" ht="13.5" customHeight="1">
      <c r="A45" s="366"/>
      <c r="B45" s="90" t="s">
        <v>219</v>
      </c>
      <c r="C45" s="367"/>
      <c r="D45" s="198">
        <v>0</v>
      </c>
      <c r="E45" s="198">
        <v>0</v>
      </c>
      <c r="F45" s="198">
        <v>0</v>
      </c>
      <c r="G45" s="198">
        <v>0</v>
      </c>
      <c r="H45" s="198">
        <v>0</v>
      </c>
      <c r="I45" s="198">
        <v>0</v>
      </c>
      <c r="J45" s="222">
        <v>0</v>
      </c>
    </row>
    <row r="46" spans="1:10" ht="13.5" customHeight="1">
      <c r="A46" s="366"/>
      <c r="B46" s="93" t="s">
        <v>218</v>
      </c>
      <c r="C46" s="367"/>
      <c r="D46" s="198">
        <v>0</v>
      </c>
      <c r="E46" s="198">
        <v>0</v>
      </c>
      <c r="F46" s="198">
        <v>0</v>
      </c>
      <c r="G46" s="198">
        <v>0</v>
      </c>
      <c r="H46" s="198">
        <v>0</v>
      </c>
      <c r="I46" s="198">
        <v>0</v>
      </c>
      <c r="J46" s="222">
        <v>0</v>
      </c>
    </row>
    <row r="47" spans="1:10" ht="13.5" customHeight="1">
      <c r="A47" s="366"/>
      <c r="B47" s="90" t="s">
        <v>217</v>
      </c>
      <c r="C47" s="367"/>
      <c r="D47" s="198">
        <v>0</v>
      </c>
      <c r="E47" s="198">
        <v>0</v>
      </c>
      <c r="F47" s="198">
        <v>0</v>
      </c>
      <c r="G47" s="198">
        <v>0</v>
      </c>
      <c r="H47" s="198">
        <v>0</v>
      </c>
      <c r="I47" s="198">
        <v>0</v>
      </c>
      <c r="J47" s="222">
        <v>0</v>
      </c>
    </row>
    <row r="48" spans="1:10" ht="13.5" customHeight="1">
      <c r="A48" s="366"/>
      <c r="B48" s="90" t="s">
        <v>216</v>
      </c>
      <c r="C48" s="367"/>
      <c r="D48" s="198">
        <v>0</v>
      </c>
      <c r="E48" s="198">
        <v>0</v>
      </c>
      <c r="F48" s="198">
        <v>0</v>
      </c>
      <c r="G48" s="198">
        <v>0</v>
      </c>
      <c r="H48" s="198">
        <v>0</v>
      </c>
      <c r="I48" s="198">
        <v>0</v>
      </c>
      <c r="J48" s="222">
        <v>0</v>
      </c>
    </row>
    <row r="49" spans="1:10" s="91" customFormat="1">
      <c r="A49" s="366">
        <v>8</v>
      </c>
      <c r="B49" s="94" t="s">
        <v>227</v>
      </c>
      <c r="C49" s="367" t="s">
        <v>224</v>
      </c>
      <c r="D49" s="197">
        <v>0</v>
      </c>
      <c r="E49" s="197">
        <v>0</v>
      </c>
      <c r="F49" s="197">
        <v>0</v>
      </c>
      <c r="G49" s="197">
        <v>0</v>
      </c>
      <c r="H49" s="197">
        <v>0</v>
      </c>
      <c r="I49" s="197">
        <v>0</v>
      </c>
      <c r="J49" s="221">
        <v>0</v>
      </c>
    </row>
    <row r="50" spans="1:10" ht="13.5" customHeight="1">
      <c r="A50" s="366"/>
      <c r="B50" s="90" t="s">
        <v>209</v>
      </c>
      <c r="C50" s="367"/>
      <c r="D50" s="198">
        <v>0</v>
      </c>
      <c r="E50" s="198">
        <v>0</v>
      </c>
      <c r="F50" s="198">
        <v>0</v>
      </c>
      <c r="G50" s="198">
        <v>0</v>
      </c>
      <c r="H50" s="198">
        <v>0</v>
      </c>
      <c r="I50" s="198">
        <v>0</v>
      </c>
      <c r="J50" s="222">
        <v>0</v>
      </c>
    </row>
    <row r="51" spans="1:10" ht="13.5" customHeight="1">
      <c r="A51" s="366"/>
      <c r="B51" s="90" t="s">
        <v>219</v>
      </c>
      <c r="C51" s="367"/>
      <c r="D51" s="198">
        <v>0</v>
      </c>
      <c r="E51" s="198">
        <v>0</v>
      </c>
      <c r="F51" s="198">
        <v>0</v>
      </c>
      <c r="G51" s="198">
        <v>0</v>
      </c>
      <c r="H51" s="198">
        <v>0</v>
      </c>
      <c r="I51" s="198">
        <v>0</v>
      </c>
      <c r="J51" s="222">
        <v>0</v>
      </c>
    </row>
    <row r="52" spans="1:10" ht="13.5" customHeight="1">
      <c r="A52" s="366"/>
      <c r="B52" s="93" t="s">
        <v>218</v>
      </c>
      <c r="C52" s="367"/>
      <c r="D52" s="198">
        <v>0</v>
      </c>
      <c r="E52" s="198">
        <v>0</v>
      </c>
      <c r="F52" s="198">
        <v>0</v>
      </c>
      <c r="G52" s="198">
        <v>0</v>
      </c>
      <c r="H52" s="198">
        <v>0</v>
      </c>
      <c r="I52" s="198">
        <v>0</v>
      </c>
      <c r="J52" s="222">
        <v>0</v>
      </c>
    </row>
    <row r="53" spans="1:10" ht="13.5" customHeight="1">
      <c r="A53" s="366"/>
      <c r="B53" s="90" t="s">
        <v>217</v>
      </c>
      <c r="C53" s="367"/>
      <c r="D53" s="198">
        <v>0</v>
      </c>
      <c r="E53" s="198">
        <v>0</v>
      </c>
      <c r="F53" s="198">
        <v>0</v>
      </c>
      <c r="G53" s="198">
        <v>0</v>
      </c>
      <c r="H53" s="198">
        <v>0</v>
      </c>
      <c r="I53" s="198">
        <v>0</v>
      </c>
      <c r="J53" s="222">
        <v>0</v>
      </c>
    </row>
    <row r="54" spans="1:10" ht="13.5" customHeight="1">
      <c r="A54" s="366"/>
      <c r="B54" s="90" t="s">
        <v>216</v>
      </c>
      <c r="C54" s="367"/>
      <c r="D54" s="198">
        <v>0</v>
      </c>
      <c r="E54" s="198">
        <v>0</v>
      </c>
      <c r="F54" s="198">
        <v>0</v>
      </c>
      <c r="G54" s="198">
        <v>0</v>
      </c>
      <c r="H54" s="198">
        <v>0</v>
      </c>
      <c r="I54" s="198">
        <v>0</v>
      </c>
      <c r="J54" s="222">
        <v>0</v>
      </c>
    </row>
    <row r="55" spans="1:10" s="91" customFormat="1">
      <c r="A55" s="366">
        <v>9</v>
      </c>
      <c r="B55" s="94" t="s">
        <v>226</v>
      </c>
      <c r="C55" s="367" t="s">
        <v>224</v>
      </c>
      <c r="D55" s="197">
        <v>483.44</v>
      </c>
      <c r="E55" s="197">
        <v>1.02</v>
      </c>
      <c r="F55" s="197">
        <v>483.44</v>
      </c>
      <c r="G55" s="197">
        <f>F55+0.8</f>
        <v>484.24</v>
      </c>
      <c r="H55" s="197">
        <v>484.24</v>
      </c>
      <c r="I55" s="197">
        <v>484.24</v>
      </c>
      <c r="J55" s="221">
        <v>484.24</v>
      </c>
    </row>
    <row r="56" spans="1:10" ht="16.5" customHeight="1">
      <c r="A56" s="366"/>
      <c r="B56" s="90" t="s">
        <v>209</v>
      </c>
      <c r="C56" s="367"/>
      <c r="D56" s="198">
        <f>D55-D57-D58</f>
        <v>190.84</v>
      </c>
      <c r="E56" s="198">
        <v>0</v>
      </c>
      <c r="F56" s="198">
        <f>D56+E57+E58</f>
        <v>198.46</v>
      </c>
      <c r="G56" s="198">
        <f>F56+0.8+0.3</f>
        <v>199.56000000000003</v>
      </c>
      <c r="H56" s="198">
        <f>G56+0.2+1.76</f>
        <v>201.52</v>
      </c>
      <c r="I56" s="198">
        <f>H56+0.2+0.7</f>
        <v>202.42</v>
      </c>
      <c r="J56" s="222">
        <f>I56+0.1+0.2</f>
        <v>202.71999999999997</v>
      </c>
    </row>
    <row r="57" spans="1:10" ht="15.75" customHeight="1">
      <c r="A57" s="366"/>
      <c r="B57" s="90" t="s">
        <v>219</v>
      </c>
      <c r="C57" s="367"/>
      <c r="D57" s="198">
        <v>290</v>
      </c>
      <c r="E57" s="198">
        <v>6.02</v>
      </c>
      <c r="F57" s="198">
        <f>D57-E57</f>
        <v>283.98</v>
      </c>
      <c r="G57" s="198">
        <v>283.98</v>
      </c>
      <c r="H57" s="198">
        <f>G57-1.76</f>
        <v>282.22000000000003</v>
      </c>
      <c r="I57" s="199">
        <f>H57-0.7</f>
        <v>281.52000000000004</v>
      </c>
      <c r="J57" s="223">
        <f>I57-0.2</f>
        <v>281.32000000000005</v>
      </c>
    </row>
    <row r="58" spans="1:10" ht="13.5" customHeight="1">
      <c r="A58" s="366"/>
      <c r="B58" s="93" t="s">
        <v>218</v>
      </c>
      <c r="C58" s="367"/>
      <c r="D58" s="198">
        <v>2.6</v>
      </c>
      <c r="E58" s="198">
        <v>1.6</v>
      </c>
      <c r="F58" s="198">
        <f>D58-E58</f>
        <v>1</v>
      </c>
      <c r="G58" s="198">
        <v>0.7</v>
      </c>
      <c r="H58" s="198">
        <v>0.5</v>
      </c>
      <c r="I58" s="198">
        <v>0.3</v>
      </c>
      <c r="J58" s="222">
        <v>0.2</v>
      </c>
    </row>
    <row r="59" spans="1:10" ht="13.5" customHeight="1">
      <c r="A59" s="366"/>
      <c r="B59" s="90" t="s">
        <v>217</v>
      </c>
      <c r="C59" s="367"/>
      <c r="D59" s="198">
        <v>0</v>
      </c>
      <c r="E59" s="198">
        <v>0</v>
      </c>
      <c r="F59" s="198">
        <v>0</v>
      </c>
      <c r="G59" s="198">
        <v>0</v>
      </c>
      <c r="H59" s="198">
        <v>0</v>
      </c>
      <c r="I59" s="198">
        <v>0</v>
      </c>
      <c r="J59" s="222">
        <v>0</v>
      </c>
    </row>
    <row r="60" spans="1:10" ht="13.5" customHeight="1">
      <c r="A60" s="366"/>
      <c r="B60" s="90" t="s">
        <v>216</v>
      </c>
      <c r="C60" s="367"/>
      <c r="D60" s="198">
        <v>0</v>
      </c>
      <c r="E60" s="198">
        <v>0</v>
      </c>
      <c r="F60" s="198">
        <v>0</v>
      </c>
      <c r="G60" s="198">
        <v>0</v>
      </c>
      <c r="H60" s="198">
        <v>0</v>
      </c>
      <c r="I60" s="198">
        <v>0</v>
      </c>
      <c r="J60" s="222">
        <v>0</v>
      </c>
    </row>
    <row r="61" spans="1:10" s="91" customFormat="1">
      <c r="A61" s="366">
        <v>10</v>
      </c>
      <c r="B61" s="94" t="s">
        <v>225</v>
      </c>
      <c r="C61" s="367" t="s">
        <v>224</v>
      </c>
      <c r="D61" s="197">
        <v>330.5</v>
      </c>
      <c r="E61" s="197">
        <v>0</v>
      </c>
      <c r="F61" s="197">
        <v>330.5</v>
      </c>
      <c r="G61" s="197">
        <v>330.5</v>
      </c>
      <c r="H61" s="197">
        <v>330.5</v>
      </c>
      <c r="I61" s="197">
        <v>330.5</v>
      </c>
      <c r="J61" s="221">
        <v>330.5</v>
      </c>
    </row>
    <row r="62" spans="1:10" ht="27" customHeight="1">
      <c r="A62" s="366"/>
      <c r="B62" s="90" t="s">
        <v>209</v>
      </c>
      <c r="C62" s="367"/>
      <c r="D62" s="198">
        <v>170.29</v>
      </c>
      <c r="E62" s="198">
        <v>0</v>
      </c>
      <c r="F62" s="198">
        <f>D62+E64</f>
        <v>170.89</v>
      </c>
      <c r="G62" s="198">
        <f>F62+0.2+0.15+0.6</f>
        <v>171.83999999999997</v>
      </c>
      <c r="H62" s="198">
        <f>G62+0.14+0.23</f>
        <v>172.20999999999995</v>
      </c>
      <c r="I62" s="198">
        <f>H62+0.12+1.32+0.13</f>
        <v>173.77999999999994</v>
      </c>
      <c r="J62" s="222">
        <f>I62+0.06+0.1</f>
        <v>173.93999999999994</v>
      </c>
    </row>
    <row r="63" spans="1:10" ht="13.5" customHeight="1">
      <c r="A63" s="366"/>
      <c r="B63" s="90" t="s">
        <v>219</v>
      </c>
      <c r="C63" s="367"/>
      <c r="D63" s="198">
        <v>158.61000000000001</v>
      </c>
      <c r="E63" s="198">
        <v>0</v>
      </c>
      <c r="F63" s="198">
        <v>158.61000000000001</v>
      </c>
      <c r="G63" s="199">
        <f>F63-0.15-0.2</f>
        <v>158.26000000000002</v>
      </c>
      <c r="H63" s="199">
        <f>G63-0.23</f>
        <v>158.03000000000003</v>
      </c>
      <c r="I63" s="199">
        <f>H63-1.32-0.12</f>
        <v>156.59000000000003</v>
      </c>
      <c r="J63" s="223">
        <f>I63-0.1</f>
        <v>156.49000000000004</v>
      </c>
    </row>
    <row r="64" spans="1:10" ht="13.5" customHeight="1">
      <c r="A64" s="366"/>
      <c r="B64" s="93" t="s">
        <v>218</v>
      </c>
      <c r="C64" s="367"/>
      <c r="D64" s="198">
        <v>1.6</v>
      </c>
      <c r="E64" s="198">
        <v>0.6</v>
      </c>
      <c r="F64" s="198">
        <f>D64-E64</f>
        <v>1</v>
      </c>
      <c r="G64" s="198">
        <v>0.4</v>
      </c>
      <c r="H64" s="198">
        <v>0.26</v>
      </c>
      <c r="I64" s="198">
        <v>0.13</v>
      </c>
      <c r="J64" s="222">
        <v>7.0000000000000007E-2</v>
      </c>
    </row>
    <row r="65" spans="1:10" ht="13.5" customHeight="1">
      <c r="A65" s="366"/>
      <c r="B65" s="90" t="s">
        <v>217</v>
      </c>
      <c r="C65" s="367"/>
      <c r="D65" s="198">
        <v>0</v>
      </c>
      <c r="E65" s="198">
        <v>0</v>
      </c>
      <c r="F65" s="198">
        <v>0</v>
      </c>
      <c r="G65" s="198">
        <v>0</v>
      </c>
      <c r="H65" s="198">
        <v>0</v>
      </c>
      <c r="I65" s="198">
        <v>0</v>
      </c>
      <c r="J65" s="222">
        <v>0</v>
      </c>
    </row>
    <row r="66" spans="1:10" ht="13.5" customHeight="1">
      <c r="A66" s="366"/>
      <c r="B66" s="90" t="s">
        <v>216</v>
      </c>
      <c r="C66" s="367"/>
      <c r="D66" s="198">
        <v>0</v>
      </c>
      <c r="E66" s="198">
        <v>0</v>
      </c>
      <c r="F66" s="198">
        <v>0</v>
      </c>
      <c r="G66" s="198">
        <v>0</v>
      </c>
      <c r="H66" s="198">
        <v>0</v>
      </c>
      <c r="I66" s="198">
        <v>0</v>
      </c>
      <c r="J66" s="222">
        <v>0</v>
      </c>
    </row>
    <row r="67" spans="1:10" s="91" customFormat="1" ht="28.5">
      <c r="A67" s="366">
        <v>11</v>
      </c>
      <c r="B67" s="92" t="s">
        <v>223</v>
      </c>
      <c r="C67" s="367" t="s">
        <v>210</v>
      </c>
      <c r="D67" s="197">
        <v>0</v>
      </c>
      <c r="E67" s="197">
        <v>0</v>
      </c>
      <c r="F67" s="197">
        <v>0</v>
      </c>
      <c r="G67" s="197">
        <v>0</v>
      </c>
      <c r="H67" s="197">
        <v>0</v>
      </c>
      <c r="I67" s="197">
        <v>0</v>
      </c>
      <c r="J67" s="221">
        <v>0</v>
      </c>
    </row>
    <row r="68" spans="1:10" ht="13.5" customHeight="1">
      <c r="A68" s="366"/>
      <c r="B68" s="90" t="s">
        <v>209</v>
      </c>
      <c r="C68" s="367"/>
      <c r="D68" s="198">
        <v>0</v>
      </c>
      <c r="E68" s="198">
        <v>0</v>
      </c>
      <c r="F68" s="198">
        <v>0</v>
      </c>
      <c r="G68" s="198">
        <v>0</v>
      </c>
      <c r="H68" s="198">
        <v>0</v>
      </c>
      <c r="I68" s="198">
        <v>0</v>
      </c>
      <c r="J68" s="222">
        <v>0</v>
      </c>
    </row>
    <row r="69" spans="1:10" ht="13.5" customHeight="1">
      <c r="A69" s="366"/>
      <c r="B69" s="90" t="s">
        <v>219</v>
      </c>
      <c r="C69" s="367"/>
      <c r="D69" s="198">
        <v>0</v>
      </c>
      <c r="E69" s="198">
        <v>0</v>
      </c>
      <c r="F69" s="198">
        <v>0</v>
      </c>
      <c r="G69" s="198">
        <v>0</v>
      </c>
      <c r="H69" s="198">
        <v>0</v>
      </c>
      <c r="I69" s="198">
        <v>0</v>
      </c>
      <c r="J69" s="222">
        <v>0</v>
      </c>
    </row>
    <row r="70" spans="1:10" ht="13.5" customHeight="1">
      <c r="A70" s="366"/>
      <c r="B70" s="93" t="s">
        <v>218</v>
      </c>
      <c r="C70" s="367"/>
      <c r="D70" s="198">
        <v>0</v>
      </c>
      <c r="E70" s="198">
        <v>0</v>
      </c>
      <c r="F70" s="198">
        <v>0</v>
      </c>
      <c r="G70" s="198">
        <v>0</v>
      </c>
      <c r="H70" s="198">
        <v>0</v>
      </c>
      <c r="I70" s="198">
        <v>0</v>
      </c>
      <c r="J70" s="222">
        <v>0</v>
      </c>
    </row>
    <row r="71" spans="1:10" ht="13.5" customHeight="1">
      <c r="A71" s="366"/>
      <c r="B71" s="90" t="s">
        <v>217</v>
      </c>
      <c r="C71" s="367"/>
      <c r="D71" s="198">
        <v>0</v>
      </c>
      <c r="E71" s="198">
        <v>0</v>
      </c>
      <c r="F71" s="198">
        <v>0</v>
      </c>
      <c r="G71" s="198">
        <v>0</v>
      </c>
      <c r="H71" s="198">
        <v>0</v>
      </c>
      <c r="I71" s="198">
        <v>0</v>
      </c>
      <c r="J71" s="222">
        <v>0</v>
      </c>
    </row>
    <row r="72" spans="1:10" s="91" customFormat="1" ht="28.5">
      <c r="A72" s="366">
        <v>12</v>
      </c>
      <c r="B72" s="92" t="s">
        <v>222</v>
      </c>
      <c r="C72" s="367" t="s">
        <v>210</v>
      </c>
      <c r="D72" s="201">
        <v>8</v>
      </c>
      <c r="E72" s="201">
        <v>0</v>
      </c>
      <c r="F72" s="201">
        <v>8</v>
      </c>
      <c r="G72" s="201">
        <v>8</v>
      </c>
      <c r="H72" s="201">
        <v>8</v>
      </c>
      <c r="I72" s="201">
        <v>8</v>
      </c>
      <c r="J72" s="225">
        <v>8</v>
      </c>
    </row>
    <row r="73" spans="1:10" ht="13.5" customHeight="1">
      <c r="A73" s="366"/>
      <c r="B73" s="90" t="s">
        <v>209</v>
      </c>
      <c r="C73" s="367"/>
      <c r="D73" s="198">
        <v>0</v>
      </c>
      <c r="E73" s="198">
        <v>0</v>
      </c>
      <c r="F73" s="198">
        <v>0</v>
      </c>
      <c r="G73" s="198">
        <v>0</v>
      </c>
      <c r="H73" s="198">
        <v>0</v>
      </c>
      <c r="I73" s="198">
        <v>1</v>
      </c>
      <c r="J73" s="222">
        <v>3</v>
      </c>
    </row>
    <row r="74" spans="1:10" ht="13.5" customHeight="1">
      <c r="A74" s="366"/>
      <c r="B74" s="90" t="s">
        <v>219</v>
      </c>
      <c r="C74" s="367"/>
      <c r="D74" s="198">
        <v>8</v>
      </c>
      <c r="E74" s="216">
        <v>0</v>
      </c>
      <c r="F74" s="216">
        <v>8</v>
      </c>
      <c r="G74" s="216">
        <v>8</v>
      </c>
      <c r="H74" s="216">
        <v>8</v>
      </c>
      <c r="I74" s="216">
        <v>7</v>
      </c>
      <c r="J74" s="226">
        <v>5</v>
      </c>
    </row>
    <row r="75" spans="1:10" ht="13.5" customHeight="1">
      <c r="A75" s="366"/>
      <c r="B75" s="93" t="s">
        <v>218</v>
      </c>
      <c r="C75" s="367"/>
      <c r="D75" s="198">
        <v>0</v>
      </c>
      <c r="E75" s="198">
        <v>0</v>
      </c>
      <c r="F75" s="198">
        <v>0</v>
      </c>
      <c r="G75" s="198">
        <v>0</v>
      </c>
      <c r="H75" s="198">
        <v>0</v>
      </c>
      <c r="I75" s="198">
        <v>0</v>
      </c>
      <c r="J75" s="222">
        <v>0</v>
      </c>
    </row>
    <row r="76" spans="1:10" ht="13.5" customHeight="1">
      <c r="A76" s="366"/>
      <c r="B76" s="90" t="s">
        <v>217</v>
      </c>
      <c r="C76" s="367"/>
      <c r="D76" s="198">
        <v>0</v>
      </c>
      <c r="E76" s="198">
        <v>0</v>
      </c>
      <c r="F76" s="198">
        <v>0</v>
      </c>
      <c r="G76" s="198">
        <v>0</v>
      </c>
      <c r="H76" s="198">
        <v>0</v>
      </c>
      <c r="I76" s="198">
        <v>0</v>
      </c>
      <c r="J76" s="222">
        <v>0</v>
      </c>
    </row>
    <row r="77" spans="1:10" s="91" customFormat="1" ht="28.5">
      <c r="A77" s="366">
        <v>13</v>
      </c>
      <c r="B77" s="92" t="s">
        <v>221</v>
      </c>
      <c r="C77" s="367" t="s">
        <v>210</v>
      </c>
      <c r="D77" s="201">
        <v>22</v>
      </c>
      <c r="E77" s="201">
        <v>1</v>
      </c>
      <c r="F77" s="201">
        <v>22</v>
      </c>
      <c r="G77" s="201">
        <v>22</v>
      </c>
      <c r="H77" s="201">
        <v>22</v>
      </c>
      <c r="I77" s="201">
        <v>22</v>
      </c>
      <c r="J77" s="225">
        <v>22</v>
      </c>
    </row>
    <row r="78" spans="1:10" ht="13.5" customHeight="1">
      <c r="A78" s="366"/>
      <c r="B78" s="90" t="s">
        <v>209</v>
      </c>
      <c r="C78" s="367"/>
      <c r="D78" s="198">
        <v>0</v>
      </c>
      <c r="E78" s="198">
        <v>0</v>
      </c>
      <c r="F78" s="198">
        <v>1</v>
      </c>
      <c r="G78" s="199">
        <v>2</v>
      </c>
      <c r="H78" s="199">
        <v>3</v>
      </c>
      <c r="I78" s="199">
        <v>3</v>
      </c>
      <c r="J78" s="223">
        <v>4</v>
      </c>
    </row>
    <row r="79" spans="1:10" ht="13.5" customHeight="1">
      <c r="A79" s="366"/>
      <c r="B79" s="90" t="s">
        <v>219</v>
      </c>
      <c r="C79" s="367"/>
      <c r="D79" s="198">
        <v>22</v>
      </c>
      <c r="E79" s="198">
        <v>1</v>
      </c>
      <c r="F79" s="198">
        <v>20</v>
      </c>
      <c r="G79" s="199">
        <v>19</v>
      </c>
      <c r="H79" s="199">
        <v>18</v>
      </c>
      <c r="I79" s="199">
        <v>18</v>
      </c>
      <c r="J79" s="223">
        <v>17</v>
      </c>
    </row>
    <row r="80" spans="1:10" ht="13.5" customHeight="1">
      <c r="A80" s="366"/>
      <c r="B80" s="93" t="s">
        <v>218</v>
      </c>
      <c r="C80" s="367"/>
      <c r="D80" s="198">
        <v>0</v>
      </c>
      <c r="E80" s="198">
        <v>0</v>
      </c>
      <c r="F80" s="198">
        <v>1</v>
      </c>
      <c r="G80" s="198">
        <v>1</v>
      </c>
      <c r="H80" s="198">
        <v>1</v>
      </c>
      <c r="I80" s="198">
        <v>1</v>
      </c>
      <c r="J80" s="222">
        <v>1</v>
      </c>
    </row>
    <row r="81" spans="1:10" ht="13.5" customHeight="1">
      <c r="A81" s="366"/>
      <c r="B81" s="90" t="s">
        <v>217</v>
      </c>
      <c r="C81" s="367"/>
      <c r="D81" s="198">
        <v>0</v>
      </c>
      <c r="E81" s="198">
        <v>0</v>
      </c>
      <c r="F81" s="198">
        <v>0</v>
      </c>
      <c r="G81" s="198">
        <v>0</v>
      </c>
      <c r="H81" s="198">
        <v>0</v>
      </c>
      <c r="I81" s="198">
        <v>0</v>
      </c>
      <c r="J81" s="222">
        <v>0</v>
      </c>
    </row>
    <row r="82" spans="1:10" s="91" customFormat="1" ht="42.75">
      <c r="A82" s="366">
        <v>14</v>
      </c>
      <c r="B82" s="94" t="s">
        <v>220</v>
      </c>
      <c r="C82" s="367" t="s">
        <v>210</v>
      </c>
      <c r="D82" s="201">
        <v>688</v>
      </c>
      <c r="E82" s="201">
        <f>E84+E85</f>
        <v>109</v>
      </c>
      <c r="F82" s="201">
        <v>688</v>
      </c>
      <c r="G82" s="201">
        <v>692</v>
      </c>
      <c r="H82" s="201">
        <v>692</v>
      </c>
      <c r="I82" s="201">
        <v>693</v>
      </c>
      <c r="J82" s="225">
        <v>694</v>
      </c>
    </row>
    <row r="83" spans="1:10" ht="13.5" customHeight="1">
      <c r="A83" s="366"/>
      <c r="B83" s="90" t="s">
        <v>209</v>
      </c>
      <c r="C83" s="367"/>
      <c r="D83" s="198">
        <f>D82-D84-D85</f>
        <v>477</v>
      </c>
      <c r="E83" s="198">
        <v>0</v>
      </c>
      <c r="F83" s="198">
        <f>F82-F84-F85</f>
        <v>566</v>
      </c>
      <c r="G83" s="198">
        <f>F83+15+4+25</f>
        <v>610</v>
      </c>
      <c r="H83" s="198">
        <f t="shared" ref="H83" si="1">H82-H84-H85</f>
        <v>623</v>
      </c>
      <c r="I83" s="198">
        <f>H83+8+4+1</f>
        <v>636</v>
      </c>
      <c r="J83" s="222">
        <f>I83+3+6+1</f>
        <v>646</v>
      </c>
    </row>
    <row r="84" spans="1:10" ht="13.5" customHeight="1">
      <c r="A84" s="366"/>
      <c r="B84" s="90" t="s">
        <v>219</v>
      </c>
      <c r="C84" s="367"/>
      <c r="D84" s="198">
        <v>103</v>
      </c>
      <c r="E84" s="198">
        <v>41</v>
      </c>
      <c r="F84" s="216">
        <v>82</v>
      </c>
      <c r="G84" s="217">
        <f>F84-25</f>
        <v>57</v>
      </c>
      <c r="H84" s="217">
        <f>G84-3</f>
        <v>54</v>
      </c>
      <c r="I84" s="217">
        <f>H84-4</f>
        <v>50</v>
      </c>
      <c r="J84" s="227">
        <f>I84-6</f>
        <v>44</v>
      </c>
    </row>
    <row r="85" spans="1:10" ht="13.5" customHeight="1">
      <c r="A85" s="366"/>
      <c r="B85" s="93" t="s">
        <v>218</v>
      </c>
      <c r="C85" s="367"/>
      <c r="D85" s="198">
        <v>108</v>
      </c>
      <c r="E85" s="198">
        <v>68</v>
      </c>
      <c r="F85" s="198">
        <v>40</v>
      </c>
      <c r="G85" s="198">
        <v>25</v>
      </c>
      <c r="H85" s="198">
        <v>15</v>
      </c>
      <c r="I85" s="198">
        <v>7</v>
      </c>
      <c r="J85" s="222">
        <v>4</v>
      </c>
    </row>
    <row r="86" spans="1:10" ht="13.5" customHeight="1">
      <c r="A86" s="366"/>
      <c r="B86" s="90" t="s">
        <v>217</v>
      </c>
      <c r="C86" s="367"/>
      <c r="D86" s="198">
        <v>0</v>
      </c>
      <c r="E86" s="198">
        <v>0</v>
      </c>
      <c r="F86" s="198">
        <v>0</v>
      </c>
      <c r="G86" s="198">
        <v>0</v>
      </c>
      <c r="H86" s="198">
        <v>0</v>
      </c>
      <c r="I86" s="198">
        <v>0</v>
      </c>
      <c r="J86" s="222">
        <v>0</v>
      </c>
    </row>
    <row r="87" spans="1:10" ht="13.5" customHeight="1">
      <c r="A87" s="366"/>
      <c r="B87" s="90" t="s">
        <v>216</v>
      </c>
      <c r="C87" s="367"/>
      <c r="D87" s="198">
        <v>0</v>
      </c>
      <c r="E87" s="198">
        <v>0</v>
      </c>
      <c r="F87" s="198">
        <v>0</v>
      </c>
      <c r="G87" s="198">
        <v>0</v>
      </c>
      <c r="H87" s="198">
        <v>0</v>
      </c>
      <c r="I87" s="198">
        <v>0</v>
      </c>
      <c r="J87" s="222">
        <v>0</v>
      </c>
    </row>
    <row r="88" spans="1:10" s="91" customFormat="1" ht="29.25" customHeight="1">
      <c r="A88" s="366">
        <v>15</v>
      </c>
      <c r="B88" s="92" t="s">
        <v>215</v>
      </c>
      <c r="C88" s="367" t="s">
        <v>210</v>
      </c>
      <c r="D88" s="197">
        <v>0</v>
      </c>
      <c r="E88" s="197">
        <v>0</v>
      </c>
      <c r="F88" s="197">
        <v>0</v>
      </c>
      <c r="G88" s="197">
        <v>0</v>
      </c>
      <c r="H88" s="197">
        <v>0</v>
      </c>
      <c r="I88" s="197">
        <v>0</v>
      </c>
      <c r="J88" s="221">
        <v>0</v>
      </c>
    </row>
    <row r="89" spans="1:10" ht="13.5" customHeight="1">
      <c r="A89" s="366"/>
      <c r="B89" s="90" t="s">
        <v>209</v>
      </c>
      <c r="C89" s="367"/>
      <c r="D89" s="198">
        <v>0</v>
      </c>
      <c r="E89" s="198">
        <v>0</v>
      </c>
      <c r="F89" s="198">
        <v>0</v>
      </c>
      <c r="G89" s="198">
        <v>0</v>
      </c>
      <c r="H89" s="198">
        <v>0</v>
      </c>
      <c r="I89" s="198">
        <v>0</v>
      </c>
      <c r="J89" s="222">
        <v>0</v>
      </c>
    </row>
    <row r="90" spans="1:10" ht="48" customHeight="1">
      <c r="A90" s="366"/>
      <c r="B90" s="90" t="s">
        <v>214</v>
      </c>
      <c r="C90" s="367"/>
      <c r="D90" s="198">
        <v>0</v>
      </c>
      <c r="E90" s="198">
        <v>0</v>
      </c>
      <c r="F90" s="198">
        <v>0</v>
      </c>
      <c r="G90" s="198">
        <v>0</v>
      </c>
      <c r="H90" s="198">
        <v>0</v>
      </c>
      <c r="I90" s="198">
        <v>0</v>
      </c>
      <c r="J90" s="222">
        <v>0</v>
      </c>
    </row>
    <row r="91" spans="1:10" ht="29.25" customHeight="1">
      <c r="A91" s="366"/>
      <c r="B91" s="90" t="s">
        <v>207</v>
      </c>
      <c r="C91" s="367"/>
      <c r="D91" s="198">
        <v>0</v>
      </c>
      <c r="E91" s="198">
        <v>0</v>
      </c>
      <c r="F91" s="198">
        <v>0</v>
      </c>
      <c r="G91" s="198">
        <v>0</v>
      </c>
      <c r="H91" s="198">
        <v>0</v>
      </c>
      <c r="I91" s="198">
        <v>0</v>
      </c>
      <c r="J91" s="222">
        <v>0</v>
      </c>
    </row>
    <row r="92" spans="1:10" s="91" customFormat="1" ht="43.5" customHeight="1">
      <c r="A92" s="366">
        <v>16</v>
      </c>
      <c r="B92" s="92" t="s">
        <v>213</v>
      </c>
      <c r="C92" s="367" t="s">
        <v>210</v>
      </c>
      <c r="D92" s="201">
        <v>14</v>
      </c>
      <c r="E92" s="201">
        <v>0</v>
      </c>
      <c r="F92" s="201">
        <v>14</v>
      </c>
      <c r="G92" s="201">
        <v>14</v>
      </c>
      <c r="H92" s="201">
        <v>14</v>
      </c>
      <c r="I92" s="201">
        <v>14</v>
      </c>
      <c r="J92" s="225">
        <v>14</v>
      </c>
    </row>
    <row r="93" spans="1:10" ht="13.5" customHeight="1">
      <c r="A93" s="366"/>
      <c r="B93" s="90" t="s">
        <v>209</v>
      </c>
      <c r="C93" s="367"/>
      <c r="D93" s="198">
        <v>1</v>
      </c>
      <c r="E93" s="198"/>
      <c r="F93" s="198">
        <v>1</v>
      </c>
      <c r="G93" s="199">
        <v>1</v>
      </c>
      <c r="H93" s="199">
        <v>1</v>
      </c>
      <c r="I93" s="199">
        <v>1</v>
      </c>
      <c r="J93" s="223">
        <v>1</v>
      </c>
    </row>
    <row r="94" spans="1:10" ht="27.75" customHeight="1">
      <c r="A94" s="366"/>
      <c r="B94" s="90" t="s">
        <v>208</v>
      </c>
      <c r="C94" s="367"/>
      <c r="D94" s="198">
        <v>13</v>
      </c>
      <c r="E94" s="198">
        <v>0</v>
      </c>
      <c r="F94" s="198">
        <v>13</v>
      </c>
      <c r="G94" s="198">
        <v>13</v>
      </c>
      <c r="H94" s="198">
        <v>13</v>
      </c>
      <c r="I94" s="198">
        <v>13</v>
      </c>
      <c r="J94" s="222">
        <v>13</v>
      </c>
    </row>
    <row r="95" spans="1:10" ht="29.25" customHeight="1">
      <c r="A95" s="366"/>
      <c r="B95" s="90" t="s">
        <v>207</v>
      </c>
      <c r="C95" s="367"/>
      <c r="D95" s="198">
        <v>0</v>
      </c>
      <c r="E95" s="198">
        <v>0</v>
      </c>
      <c r="F95" s="198">
        <v>0</v>
      </c>
      <c r="G95" s="198">
        <v>0</v>
      </c>
      <c r="H95" s="198">
        <v>0</v>
      </c>
      <c r="I95" s="198">
        <v>0</v>
      </c>
      <c r="J95" s="222">
        <v>0</v>
      </c>
    </row>
    <row r="96" spans="1:10" s="91" customFormat="1" ht="27" customHeight="1">
      <c r="A96" s="366">
        <v>17</v>
      </c>
      <c r="B96" s="92" t="s">
        <v>212</v>
      </c>
      <c r="C96" s="367" t="s">
        <v>210</v>
      </c>
      <c r="D96" s="201">
        <v>40</v>
      </c>
      <c r="E96" s="201">
        <v>2</v>
      </c>
      <c r="F96" s="201">
        <v>41</v>
      </c>
      <c r="G96" s="201">
        <v>41</v>
      </c>
      <c r="H96" s="201">
        <v>41</v>
      </c>
      <c r="I96" s="201">
        <v>41</v>
      </c>
      <c r="J96" s="225">
        <v>41</v>
      </c>
    </row>
    <row r="97" spans="1:10" ht="13.5" customHeight="1">
      <c r="A97" s="366"/>
      <c r="B97" s="90" t="s">
        <v>209</v>
      </c>
      <c r="C97" s="367"/>
      <c r="D97" s="198">
        <v>14</v>
      </c>
      <c r="E97" s="198">
        <v>1</v>
      </c>
      <c r="F97" s="198">
        <v>16</v>
      </c>
      <c r="G97" s="199">
        <v>17</v>
      </c>
      <c r="H97" s="199">
        <v>18</v>
      </c>
      <c r="I97" s="199">
        <v>19</v>
      </c>
      <c r="J97" s="223">
        <v>21</v>
      </c>
    </row>
    <row r="98" spans="1:10" ht="26.25" customHeight="1">
      <c r="A98" s="366"/>
      <c r="B98" s="90" t="s">
        <v>208</v>
      </c>
      <c r="C98" s="367"/>
      <c r="D98" s="198">
        <v>25</v>
      </c>
      <c r="E98" s="198">
        <v>0</v>
      </c>
      <c r="F98" s="198">
        <v>25</v>
      </c>
      <c r="G98" s="199">
        <v>24</v>
      </c>
      <c r="H98" s="199">
        <v>23</v>
      </c>
      <c r="I98" s="199">
        <v>21</v>
      </c>
      <c r="J98" s="223">
        <v>20</v>
      </c>
    </row>
    <row r="99" spans="1:10" ht="30" customHeight="1">
      <c r="A99" s="366"/>
      <c r="B99" s="90" t="s">
        <v>207</v>
      </c>
      <c r="C99" s="367"/>
      <c r="D99" s="198">
        <v>1</v>
      </c>
      <c r="E99" s="198">
        <v>1</v>
      </c>
      <c r="F99" s="198">
        <v>0</v>
      </c>
      <c r="G99" s="199">
        <v>0</v>
      </c>
      <c r="H99" s="199">
        <v>0</v>
      </c>
      <c r="I99" s="199">
        <v>0</v>
      </c>
      <c r="J99" s="223">
        <v>0</v>
      </c>
    </row>
    <row r="100" spans="1:10" s="91" customFormat="1" ht="29.25" customHeight="1">
      <c r="A100" s="366">
        <v>18</v>
      </c>
      <c r="B100" s="92" t="s">
        <v>211</v>
      </c>
      <c r="C100" s="367" t="s">
        <v>210</v>
      </c>
      <c r="D100" s="201">
        <v>922</v>
      </c>
      <c r="E100" s="201">
        <v>47</v>
      </c>
      <c r="F100" s="201">
        <v>922</v>
      </c>
      <c r="G100" s="201">
        <v>927</v>
      </c>
      <c r="H100" s="201">
        <v>927</v>
      </c>
      <c r="I100" s="201">
        <v>929</v>
      </c>
      <c r="J100" s="225">
        <v>930</v>
      </c>
    </row>
    <row r="101" spans="1:10" ht="13.5" customHeight="1">
      <c r="A101" s="366"/>
      <c r="B101" s="90" t="s">
        <v>209</v>
      </c>
      <c r="C101" s="367"/>
      <c r="D101" s="198">
        <v>365</v>
      </c>
      <c r="E101" s="198">
        <v>0</v>
      </c>
      <c r="F101" s="198">
        <f>F100-F102</f>
        <v>412</v>
      </c>
      <c r="G101" s="198">
        <f>G100-G102+6</f>
        <v>453</v>
      </c>
      <c r="H101" s="198">
        <f t="shared" ref="H101" si="2">H100-H102</f>
        <v>487</v>
      </c>
      <c r="I101" s="198">
        <f>I100-I102+2</f>
        <v>521</v>
      </c>
      <c r="J101" s="222">
        <f>J100-J102+2</f>
        <v>532</v>
      </c>
    </row>
    <row r="102" spans="1:10" ht="29.25" customHeight="1">
      <c r="A102" s="366"/>
      <c r="B102" s="90" t="s">
        <v>208</v>
      </c>
      <c r="C102" s="367"/>
      <c r="D102" s="198">
        <v>557</v>
      </c>
      <c r="E102" s="198">
        <v>47</v>
      </c>
      <c r="F102" s="198">
        <f>D102-E102</f>
        <v>510</v>
      </c>
      <c r="G102" s="199">
        <v>480</v>
      </c>
      <c r="H102" s="199">
        <v>440</v>
      </c>
      <c r="I102" s="199">
        <v>410</v>
      </c>
      <c r="J102" s="223">
        <v>400</v>
      </c>
    </row>
    <row r="103" spans="1:10" ht="27" customHeight="1" thickBot="1">
      <c r="A103" s="372"/>
      <c r="B103" s="228" t="s">
        <v>207</v>
      </c>
      <c r="C103" s="373"/>
      <c r="D103" s="229">
        <v>0</v>
      </c>
      <c r="E103" s="229">
        <v>0</v>
      </c>
      <c r="F103" s="229">
        <v>0</v>
      </c>
      <c r="G103" s="230">
        <v>0</v>
      </c>
      <c r="H103" s="230">
        <v>0</v>
      </c>
      <c r="I103" s="230">
        <v>0</v>
      </c>
      <c r="J103" s="231">
        <v>0</v>
      </c>
    </row>
    <row r="104" spans="1:10" ht="15" customHeight="1">
      <c r="A104" s="370"/>
      <c r="B104" s="370"/>
      <c r="C104" s="370"/>
      <c r="D104" s="370"/>
      <c r="E104" s="370"/>
      <c r="F104" s="370"/>
    </row>
    <row r="105" spans="1:10" ht="30" customHeight="1">
      <c r="A105" s="371" t="s">
        <v>206</v>
      </c>
      <c r="B105" s="371"/>
      <c r="C105" s="371"/>
      <c r="D105" s="371"/>
      <c r="E105" s="371"/>
      <c r="F105" s="371"/>
    </row>
    <row r="106" spans="1:10">
      <c r="A106" s="371" t="s">
        <v>199</v>
      </c>
      <c r="B106" s="371"/>
      <c r="C106" s="371"/>
      <c r="D106" s="371"/>
      <c r="E106" s="371"/>
      <c r="F106" s="371"/>
    </row>
  </sheetData>
  <mergeCells count="48">
    <mergeCell ref="A104:F104"/>
    <mergeCell ref="A105:F105"/>
    <mergeCell ref="A106:F106"/>
    <mergeCell ref="A92:A95"/>
    <mergeCell ref="C92:C95"/>
    <mergeCell ref="A96:A99"/>
    <mergeCell ref="C96:C99"/>
    <mergeCell ref="A100:A103"/>
    <mergeCell ref="C100:C103"/>
    <mergeCell ref="A77:A81"/>
    <mergeCell ref="C77:C81"/>
    <mergeCell ref="A82:A87"/>
    <mergeCell ref="C82:C87"/>
    <mergeCell ref="A88:A91"/>
    <mergeCell ref="C88:C91"/>
    <mergeCell ref="A61:A66"/>
    <mergeCell ref="C61:C66"/>
    <mergeCell ref="A67:A71"/>
    <mergeCell ref="C67:C71"/>
    <mergeCell ref="A72:A76"/>
    <mergeCell ref="C72:C76"/>
    <mergeCell ref="A43:A48"/>
    <mergeCell ref="C43:C48"/>
    <mergeCell ref="A49:A54"/>
    <mergeCell ref="C49:C54"/>
    <mergeCell ref="A55:A60"/>
    <mergeCell ref="C55:C60"/>
    <mergeCell ref="A25:A30"/>
    <mergeCell ref="C25:C30"/>
    <mergeCell ref="A31:A36"/>
    <mergeCell ref="C31:C36"/>
    <mergeCell ref="A37:A42"/>
    <mergeCell ref="C37:C42"/>
    <mergeCell ref="A7:A12"/>
    <mergeCell ref="C7:C12"/>
    <mergeCell ref="A13:A18"/>
    <mergeCell ref="C13:C18"/>
    <mergeCell ref="A19:A24"/>
    <mergeCell ref="C19:C24"/>
    <mergeCell ref="E1:F1"/>
    <mergeCell ref="I1:J1"/>
    <mergeCell ref="A3:J3"/>
    <mergeCell ref="A4:A5"/>
    <mergeCell ref="B4:B5"/>
    <mergeCell ref="C4:C5"/>
    <mergeCell ref="D4:D5"/>
    <mergeCell ref="E4:E5"/>
    <mergeCell ref="F4:J4"/>
  </mergeCells>
  <pageMargins left="0.6692913385826772" right="0.39370078740157483" top="0.35433070866141736" bottom="0.43307086614173229" header="0.23622047244094491" footer="0.23622047244094491"/>
  <pageSetup paperSize="9" scale="37" fitToHeight="2"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2:J105"/>
  <sheetViews>
    <sheetView topLeftCell="A100" workbookViewId="0">
      <selection activeCell="I11" sqref="I11"/>
    </sheetView>
  </sheetViews>
  <sheetFormatPr defaultRowHeight="15"/>
  <cols>
    <col min="1" max="1" width="4.42578125" customWidth="1"/>
    <col min="2" max="2" width="26.85546875" customWidth="1"/>
    <col min="4" max="4" width="17.42578125" customWidth="1"/>
    <col min="5" max="5" width="16.140625" customWidth="1"/>
  </cols>
  <sheetData>
    <row r="2" spans="1:10" ht="15.75" thickBot="1"/>
    <row r="3" spans="1:10" ht="19.5" thickBot="1">
      <c r="A3" s="380" t="s">
        <v>607</v>
      </c>
      <c r="B3" s="381"/>
      <c r="C3" s="381"/>
      <c r="D3" s="381"/>
      <c r="E3" s="381"/>
      <c r="F3" s="381"/>
      <c r="G3" s="381"/>
      <c r="H3" s="381"/>
      <c r="I3" s="381"/>
      <c r="J3" s="382"/>
    </row>
    <row r="4" spans="1:10" ht="34.5" customHeight="1" thickBot="1">
      <c r="A4" s="374" t="s">
        <v>0</v>
      </c>
      <c r="B4" s="322" t="s">
        <v>578</v>
      </c>
      <c r="C4" s="374" t="s">
        <v>239</v>
      </c>
      <c r="D4" s="374" t="s">
        <v>238</v>
      </c>
      <c r="E4" s="374" t="s">
        <v>237</v>
      </c>
      <c r="F4" s="383" t="s">
        <v>236</v>
      </c>
      <c r="G4" s="384"/>
      <c r="H4" s="384"/>
      <c r="I4" s="384"/>
      <c r="J4" s="385"/>
    </row>
    <row r="5" spans="1:10" ht="35.25" customHeight="1" thickBot="1">
      <c r="A5" s="376"/>
      <c r="B5" s="322" t="s">
        <v>579</v>
      </c>
      <c r="C5" s="376"/>
      <c r="D5" s="376"/>
      <c r="E5" s="376"/>
      <c r="F5" s="322" t="s">
        <v>20</v>
      </c>
      <c r="G5" s="322" t="s">
        <v>21</v>
      </c>
      <c r="H5" s="322" t="s">
        <v>22</v>
      </c>
      <c r="I5" s="322" t="s">
        <v>23</v>
      </c>
      <c r="J5" s="322" t="s">
        <v>24</v>
      </c>
    </row>
    <row r="6" spans="1:10" ht="15.75" thickBot="1">
      <c r="A6" s="323">
        <v>1</v>
      </c>
      <c r="B6" s="322">
        <v>2</v>
      </c>
      <c r="C6" s="322">
        <v>3</v>
      </c>
      <c r="D6" s="322">
        <v>4</v>
      </c>
      <c r="E6" s="322">
        <v>5</v>
      </c>
      <c r="F6" s="322">
        <v>6</v>
      </c>
      <c r="G6" s="324">
        <v>7</v>
      </c>
      <c r="H6" s="324">
        <v>8</v>
      </c>
      <c r="I6" s="324">
        <v>9</v>
      </c>
      <c r="J6" s="324">
        <v>10</v>
      </c>
    </row>
    <row r="7" spans="1:10" ht="29.25" thickBot="1">
      <c r="A7" s="374">
        <v>1</v>
      </c>
      <c r="B7" s="325" t="s">
        <v>235</v>
      </c>
      <c r="C7" s="322" t="s">
        <v>224</v>
      </c>
      <c r="D7" s="326">
        <v>0</v>
      </c>
      <c r="E7" s="326">
        <v>0</v>
      </c>
      <c r="F7" s="326">
        <v>0</v>
      </c>
      <c r="G7" s="326">
        <v>0</v>
      </c>
      <c r="H7" s="326">
        <v>0</v>
      </c>
      <c r="I7" s="326">
        <v>0</v>
      </c>
      <c r="J7" s="326">
        <v>0</v>
      </c>
    </row>
    <row r="8" spans="1:10" ht="30.75" thickBot="1">
      <c r="A8" s="375"/>
      <c r="B8" s="327" t="s">
        <v>209</v>
      </c>
      <c r="C8" s="322" t="s">
        <v>580</v>
      </c>
      <c r="D8" s="328">
        <v>0</v>
      </c>
      <c r="E8" s="328">
        <v>0</v>
      </c>
      <c r="F8" s="328">
        <v>0</v>
      </c>
      <c r="G8" s="328">
        <v>0</v>
      </c>
      <c r="H8" s="328">
        <v>0</v>
      </c>
      <c r="I8" s="328">
        <v>0</v>
      </c>
      <c r="J8" s="328">
        <v>0</v>
      </c>
    </row>
    <row r="9" spans="1:10" ht="15.75" thickBot="1">
      <c r="A9" s="375"/>
      <c r="B9" s="327" t="s">
        <v>219</v>
      </c>
      <c r="C9" s="329"/>
      <c r="D9" s="328">
        <v>0</v>
      </c>
      <c r="E9" s="328">
        <v>0</v>
      </c>
      <c r="F9" s="328">
        <v>0</v>
      </c>
      <c r="G9" s="328">
        <v>0</v>
      </c>
      <c r="H9" s="328">
        <v>0</v>
      </c>
      <c r="I9" s="328">
        <v>0</v>
      </c>
      <c r="J9" s="328">
        <v>0</v>
      </c>
    </row>
    <row r="10" spans="1:10" ht="15.75" thickBot="1">
      <c r="A10" s="375"/>
      <c r="B10" s="330" t="s">
        <v>218</v>
      </c>
      <c r="C10" s="329"/>
      <c r="D10" s="328">
        <v>0</v>
      </c>
      <c r="E10" s="328">
        <v>0</v>
      </c>
      <c r="F10" s="328">
        <v>0</v>
      </c>
      <c r="G10" s="328">
        <v>0</v>
      </c>
      <c r="H10" s="328">
        <v>0</v>
      </c>
      <c r="I10" s="328">
        <v>0</v>
      </c>
      <c r="J10" s="328">
        <v>0</v>
      </c>
    </row>
    <row r="11" spans="1:10" ht="15.75" thickBot="1">
      <c r="A11" s="375"/>
      <c r="B11" s="330" t="s">
        <v>217</v>
      </c>
      <c r="C11" s="329"/>
      <c r="D11" s="328">
        <v>0</v>
      </c>
      <c r="E11" s="328">
        <v>0</v>
      </c>
      <c r="F11" s="328">
        <v>0</v>
      </c>
      <c r="G11" s="328">
        <v>0</v>
      </c>
      <c r="H11" s="328">
        <v>0</v>
      </c>
      <c r="I11" s="328">
        <v>0</v>
      </c>
      <c r="J11" s="328">
        <v>0</v>
      </c>
    </row>
    <row r="12" spans="1:10" ht="15.75" thickBot="1">
      <c r="A12" s="376"/>
      <c r="B12" s="327" t="s">
        <v>216</v>
      </c>
      <c r="C12" s="329"/>
      <c r="D12" s="328">
        <v>0</v>
      </c>
      <c r="E12" s="328">
        <v>0</v>
      </c>
      <c r="F12" s="328">
        <v>0</v>
      </c>
      <c r="G12" s="328">
        <v>0</v>
      </c>
      <c r="H12" s="328">
        <v>0</v>
      </c>
      <c r="I12" s="328">
        <v>0</v>
      </c>
      <c r="J12" s="328">
        <v>0</v>
      </c>
    </row>
    <row r="13" spans="1:10" ht="15.75" thickBot="1">
      <c r="A13" s="374">
        <v>2</v>
      </c>
      <c r="B13" s="325" t="s">
        <v>234</v>
      </c>
      <c r="C13" s="322" t="s">
        <v>224</v>
      </c>
      <c r="D13" s="326">
        <v>16.8</v>
      </c>
      <c r="E13" s="326">
        <v>2.2999999999999998</v>
      </c>
      <c r="F13" s="326">
        <v>17.03</v>
      </c>
      <c r="G13" s="326">
        <v>17.03</v>
      </c>
      <c r="H13" s="326">
        <v>17.03</v>
      </c>
      <c r="I13" s="326">
        <v>17.03</v>
      </c>
      <c r="J13" s="326">
        <v>26.53</v>
      </c>
    </row>
    <row r="14" spans="1:10" ht="30.75" thickBot="1">
      <c r="A14" s="375"/>
      <c r="B14" s="327" t="s">
        <v>209</v>
      </c>
      <c r="C14" s="322" t="s">
        <v>580</v>
      </c>
      <c r="D14" s="328">
        <v>2.5139999999999998</v>
      </c>
      <c r="E14" s="328">
        <v>0</v>
      </c>
      <c r="F14" s="328">
        <v>5.0439999999999996</v>
      </c>
      <c r="G14" s="324">
        <v>5.2439999999999998</v>
      </c>
      <c r="H14" s="324">
        <v>5.444</v>
      </c>
      <c r="I14" s="324">
        <v>5.6440000000000001</v>
      </c>
      <c r="J14" s="324">
        <v>15.343999999999999</v>
      </c>
    </row>
    <row r="15" spans="1:10" ht="15.75" thickBot="1">
      <c r="A15" s="375"/>
      <c r="B15" s="327" t="s">
        <v>219</v>
      </c>
      <c r="C15" s="329"/>
      <c r="D15" s="328">
        <v>11.086</v>
      </c>
      <c r="E15" s="328">
        <v>0</v>
      </c>
      <c r="F15" s="328">
        <v>11.086</v>
      </c>
      <c r="G15" s="328">
        <v>11.086</v>
      </c>
      <c r="H15" s="328">
        <v>11.086</v>
      </c>
      <c r="I15" s="328">
        <v>11.086</v>
      </c>
      <c r="J15" s="328">
        <v>11.086</v>
      </c>
    </row>
    <row r="16" spans="1:10" ht="15.75" thickBot="1">
      <c r="A16" s="375"/>
      <c r="B16" s="330" t="s">
        <v>218</v>
      </c>
      <c r="C16" s="329"/>
      <c r="D16" s="328">
        <v>3.2</v>
      </c>
      <c r="E16" s="328">
        <v>2.2999999999999998</v>
      </c>
      <c r="F16" s="328">
        <v>0.9</v>
      </c>
      <c r="G16" s="328">
        <v>0.7</v>
      </c>
      <c r="H16" s="328">
        <v>0.5</v>
      </c>
      <c r="I16" s="328">
        <v>0.3</v>
      </c>
      <c r="J16" s="328">
        <v>0.1</v>
      </c>
    </row>
    <row r="17" spans="1:10" ht="15.75" thickBot="1">
      <c r="A17" s="375"/>
      <c r="B17" s="330" t="s">
        <v>217</v>
      </c>
      <c r="C17" s="329"/>
      <c r="D17" s="328">
        <v>0</v>
      </c>
      <c r="E17" s="328">
        <v>0</v>
      </c>
      <c r="F17" s="328">
        <v>0</v>
      </c>
      <c r="G17" s="324">
        <v>0</v>
      </c>
      <c r="H17" s="324">
        <v>0</v>
      </c>
      <c r="I17" s="324">
        <v>0</v>
      </c>
      <c r="J17" s="324">
        <v>0</v>
      </c>
    </row>
    <row r="18" spans="1:10" ht="15.75" thickBot="1">
      <c r="A18" s="376"/>
      <c r="B18" s="327" t="s">
        <v>216</v>
      </c>
      <c r="C18" s="329"/>
      <c r="D18" s="328">
        <v>0</v>
      </c>
      <c r="E18" s="328">
        <v>0</v>
      </c>
      <c r="F18" s="328">
        <v>0</v>
      </c>
      <c r="G18" s="324">
        <v>0</v>
      </c>
      <c r="H18" s="324">
        <v>0</v>
      </c>
      <c r="I18" s="324">
        <v>0</v>
      </c>
      <c r="J18" s="324">
        <v>0</v>
      </c>
    </row>
    <row r="19" spans="1:10" ht="15.75" thickBot="1">
      <c r="A19" s="374">
        <v>3</v>
      </c>
      <c r="B19" s="325" t="s">
        <v>233</v>
      </c>
      <c r="C19" s="322" t="s">
        <v>224</v>
      </c>
      <c r="D19" s="326">
        <v>148.72999999999999</v>
      </c>
      <c r="E19" s="326">
        <v>0</v>
      </c>
      <c r="F19" s="326">
        <v>148.72999999999999</v>
      </c>
      <c r="G19" s="326">
        <v>148.72999999999999</v>
      </c>
      <c r="H19" s="326">
        <v>153.18</v>
      </c>
      <c r="I19" s="326">
        <v>153.18</v>
      </c>
      <c r="J19" s="326">
        <v>153.18</v>
      </c>
    </row>
    <row r="20" spans="1:10" ht="30.75" thickBot="1">
      <c r="A20" s="375"/>
      <c r="B20" s="327" t="s">
        <v>209</v>
      </c>
      <c r="C20" s="322" t="s">
        <v>580</v>
      </c>
      <c r="D20" s="328">
        <v>97.611999999999995</v>
      </c>
      <c r="E20" s="328">
        <v>0</v>
      </c>
      <c r="F20" s="328">
        <v>97.611999999999995</v>
      </c>
      <c r="G20" s="328">
        <v>118.53</v>
      </c>
      <c r="H20" s="328">
        <v>123.58</v>
      </c>
      <c r="I20" s="328">
        <v>140.97999999999999</v>
      </c>
      <c r="J20" s="328">
        <v>148.18</v>
      </c>
    </row>
    <row r="21" spans="1:10" ht="15.75" thickBot="1">
      <c r="A21" s="375"/>
      <c r="B21" s="327" t="s">
        <v>219</v>
      </c>
      <c r="C21" s="329"/>
      <c r="D21" s="328">
        <v>48.6</v>
      </c>
      <c r="E21" s="328">
        <v>0</v>
      </c>
      <c r="F21" s="328">
        <v>48.6</v>
      </c>
      <c r="G21" s="324">
        <v>29</v>
      </c>
      <c r="H21" s="324">
        <v>29</v>
      </c>
      <c r="I21" s="324">
        <v>11.8</v>
      </c>
      <c r="J21" s="324">
        <v>4.8</v>
      </c>
    </row>
    <row r="22" spans="1:10" ht="15.75" thickBot="1">
      <c r="A22" s="375"/>
      <c r="B22" s="330" t="s">
        <v>218</v>
      </c>
      <c r="C22" s="329"/>
      <c r="D22" s="328">
        <v>2.5179999999999998</v>
      </c>
      <c r="E22" s="328">
        <v>0</v>
      </c>
      <c r="F22" s="328">
        <v>2.5179999999999998</v>
      </c>
      <c r="G22" s="328">
        <v>1.2</v>
      </c>
      <c r="H22" s="328">
        <v>0.6</v>
      </c>
      <c r="I22" s="328">
        <v>0.4</v>
      </c>
      <c r="J22" s="328">
        <v>0.2</v>
      </c>
    </row>
    <row r="23" spans="1:10" ht="15.75" thickBot="1">
      <c r="A23" s="375"/>
      <c r="B23" s="330" t="s">
        <v>217</v>
      </c>
      <c r="C23" s="329"/>
      <c r="D23" s="328">
        <v>0</v>
      </c>
      <c r="E23" s="328">
        <v>0</v>
      </c>
      <c r="F23" s="328">
        <v>0</v>
      </c>
      <c r="G23" s="324">
        <v>0</v>
      </c>
      <c r="H23" s="324">
        <v>0</v>
      </c>
      <c r="I23" s="324">
        <v>0</v>
      </c>
      <c r="J23" s="324">
        <v>0</v>
      </c>
    </row>
    <row r="24" spans="1:10" ht="15.75" thickBot="1">
      <c r="A24" s="376"/>
      <c r="B24" s="327" t="s">
        <v>216</v>
      </c>
      <c r="C24" s="329"/>
      <c r="D24" s="328">
        <v>0</v>
      </c>
      <c r="E24" s="328">
        <v>0</v>
      </c>
      <c r="F24" s="328">
        <v>0</v>
      </c>
      <c r="G24" s="324">
        <v>0</v>
      </c>
      <c r="H24" s="324">
        <v>0</v>
      </c>
      <c r="I24" s="324">
        <v>0</v>
      </c>
      <c r="J24" s="324">
        <v>0</v>
      </c>
    </row>
    <row r="25" spans="1:10" ht="15.75" thickBot="1">
      <c r="A25" s="374">
        <v>4</v>
      </c>
      <c r="B25" s="325" t="s">
        <v>581</v>
      </c>
      <c r="C25" s="322" t="s">
        <v>224</v>
      </c>
      <c r="D25" s="326">
        <v>149.26</v>
      </c>
      <c r="E25" s="326">
        <v>7.54</v>
      </c>
      <c r="F25" s="326">
        <v>149.26</v>
      </c>
      <c r="G25" s="326">
        <v>150.49</v>
      </c>
      <c r="H25" s="326">
        <v>154.49</v>
      </c>
      <c r="I25" s="326">
        <v>154.49</v>
      </c>
      <c r="J25" s="326">
        <v>154.49</v>
      </c>
    </row>
    <row r="26" spans="1:10" ht="30.75" thickBot="1">
      <c r="A26" s="375"/>
      <c r="B26" s="327" t="s">
        <v>209</v>
      </c>
      <c r="C26" s="322" t="s">
        <v>580</v>
      </c>
      <c r="D26" s="328">
        <v>76.430000000000007</v>
      </c>
      <c r="E26" s="328">
        <v>0</v>
      </c>
      <c r="F26" s="328">
        <v>83.97</v>
      </c>
      <c r="G26" s="328">
        <v>97.92</v>
      </c>
      <c r="H26" s="328">
        <v>102.62</v>
      </c>
      <c r="I26" s="328">
        <v>103.34</v>
      </c>
      <c r="J26" s="328">
        <v>103.94</v>
      </c>
    </row>
    <row r="27" spans="1:10" ht="15.75" thickBot="1">
      <c r="A27" s="375"/>
      <c r="B27" s="327" t="s">
        <v>219</v>
      </c>
      <c r="C27" s="329"/>
      <c r="D27" s="328">
        <v>62.01</v>
      </c>
      <c r="E27" s="328">
        <v>1.04</v>
      </c>
      <c r="F27" s="328">
        <v>60.97</v>
      </c>
      <c r="G27" s="324">
        <v>50.77</v>
      </c>
      <c r="H27" s="324">
        <v>50.37</v>
      </c>
      <c r="I27" s="324">
        <v>49.95</v>
      </c>
      <c r="J27" s="324">
        <v>49.95</v>
      </c>
    </row>
    <row r="28" spans="1:10" ht="15.75" thickBot="1">
      <c r="A28" s="375"/>
      <c r="B28" s="330" t="s">
        <v>218</v>
      </c>
      <c r="C28" s="329"/>
      <c r="D28" s="328">
        <v>10.82</v>
      </c>
      <c r="E28" s="328">
        <v>6.5</v>
      </c>
      <c r="F28" s="328">
        <v>4.32</v>
      </c>
      <c r="G28" s="328">
        <v>1.8</v>
      </c>
      <c r="H28" s="328">
        <v>1.5</v>
      </c>
      <c r="I28" s="328">
        <v>1.2</v>
      </c>
      <c r="J28" s="328">
        <v>0.6</v>
      </c>
    </row>
    <row r="29" spans="1:10" ht="15.75" thickBot="1">
      <c r="A29" s="375"/>
      <c r="B29" s="330" t="s">
        <v>217</v>
      </c>
      <c r="C29" s="329"/>
      <c r="D29" s="328">
        <v>0</v>
      </c>
      <c r="E29" s="328">
        <v>0</v>
      </c>
      <c r="F29" s="328">
        <v>0</v>
      </c>
      <c r="G29" s="324">
        <v>0</v>
      </c>
      <c r="H29" s="324">
        <v>0</v>
      </c>
      <c r="I29" s="324">
        <v>0</v>
      </c>
      <c r="J29" s="324">
        <v>0</v>
      </c>
    </row>
    <row r="30" spans="1:10" ht="15.75" thickBot="1">
      <c r="A30" s="376"/>
      <c r="B30" s="327" t="s">
        <v>216</v>
      </c>
      <c r="C30" s="329"/>
      <c r="D30" s="328">
        <v>0</v>
      </c>
      <c r="E30" s="328">
        <v>0</v>
      </c>
      <c r="F30" s="328">
        <v>0</v>
      </c>
      <c r="G30" s="324">
        <v>0</v>
      </c>
      <c r="H30" s="324">
        <v>0</v>
      </c>
      <c r="I30" s="324">
        <v>0</v>
      </c>
      <c r="J30" s="324">
        <v>0</v>
      </c>
    </row>
    <row r="31" spans="1:10" ht="15.75" thickBot="1">
      <c r="A31" s="374">
        <v>5</v>
      </c>
      <c r="B31" s="325" t="s">
        <v>230</v>
      </c>
      <c r="C31" s="374" t="s">
        <v>224</v>
      </c>
      <c r="D31" s="326">
        <v>637.97</v>
      </c>
      <c r="E31" s="326">
        <v>10.1</v>
      </c>
      <c r="F31" s="326">
        <v>637.97</v>
      </c>
      <c r="G31" s="197">
        <f>G32+G33+G34</f>
        <v>640.05999999999995</v>
      </c>
      <c r="H31" s="197">
        <f t="shared" ref="H31:J31" si="0">H32+H33+H34</f>
        <v>649.36</v>
      </c>
      <c r="I31" s="197">
        <f t="shared" si="0"/>
        <v>650.76</v>
      </c>
      <c r="J31" s="197">
        <f t="shared" si="0"/>
        <v>656.01499999999999</v>
      </c>
    </row>
    <row r="32" spans="1:10" ht="15.75" thickBot="1">
      <c r="A32" s="375"/>
      <c r="B32" s="327" t="s">
        <v>209</v>
      </c>
      <c r="C32" s="375"/>
      <c r="D32" s="328">
        <v>417.86</v>
      </c>
      <c r="E32" s="328">
        <v>0</v>
      </c>
      <c r="F32" s="331">
        <v>427.96</v>
      </c>
      <c r="G32" s="324">
        <v>438.36</v>
      </c>
      <c r="H32" s="324">
        <v>446.56</v>
      </c>
      <c r="I32" s="324">
        <v>448.96</v>
      </c>
      <c r="J32" s="324">
        <v>455.84</v>
      </c>
    </row>
    <row r="33" spans="1:10" ht="15.75" thickBot="1">
      <c r="A33" s="375"/>
      <c r="B33" s="327" t="s">
        <v>219</v>
      </c>
      <c r="C33" s="375"/>
      <c r="D33" s="331">
        <v>206.71</v>
      </c>
      <c r="E33" s="328">
        <v>2.2999999999999998</v>
      </c>
      <c r="F33" s="331">
        <v>204.41</v>
      </c>
      <c r="G33" s="331">
        <f>F33-1.03-6.08</f>
        <v>197.29999999999998</v>
      </c>
      <c r="H33" s="331">
        <v>199.6</v>
      </c>
      <c r="I33" s="331">
        <v>199.6</v>
      </c>
      <c r="J33" s="331">
        <f>I33-0.425</f>
        <v>199.17499999999998</v>
      </c>
    </row>
    <row r="34" spans="1:10" ht="15.75" thickBot="1">
      <c r="A34" s="375"/>
      <c r="B34" s="330" t="s">
        <v>218</v>
      </c>
      <c r="C34" s="375"/>
      <c r="D34" s="331">
        <v>13.4</v>
      </c>
      <c r="E34" s="328">
        <v>7.8</v>
      </c>
      <c r="F34" s="328">
        <v>5.6</v>
      </c>
      <c r="G34" s="331">
        <v>4.4000000000000004</v>
      </c>
      <c r="H34" s="331">
        <v>3.2</v>
      </c>
      <c r="I34" s="331">
        <v>2.2000000000000002</v>
      </c>
      <c r="J34" s="331">
        <v>1</v>
      </c>
    </row>
    <row r="35" spans="1:10" ht="15.75" thickBot="1">
      <c r="A35" s="375"/>
      <c r="B35" s="330" t="s">
        <v>217</v>
      </c>
      <c r="C35" s="375"/>
      <c r="D35" s="331">
        <v>0</v>
      </c>
      <c r="E35" s="328">
        <v>0</v>
      </c>
      <c r="F35" s="328">
        <v>0</v>
      </c>
      <c r="G35" s="324">
        <v>0</v>
      </c>
      <c r="H35" s="324">
        <v>0</v>
      </c>
      <c r="I35" s="324">
        <v>0</v>
      </c>
      <c r="J35" s="324">
        <v>0</v>
      </c>
    </row>
    <row r="36" spans="1:10" ht="15.75" thickBot="1">
      <c r="A36" s="376"/>
      <c r="B36" s="327" t="s">
        <v>216</v>
      </c>
      <c r="C36" s="376"/>
      <c r="D36" s="331">
        <v>0</v>
      </c>
      <c r="E36" s="328">
        <v>0</v>
      </c>
      <c r="F36" s="328">
        <v>0</v>
      </c>
      <c r="G36" s="324">
        <v>0</v>
      </c>
      <c r="H36" s="324">
        <v>0</v>
      </c>
      <c r="I36" s="324">
        <v>0</v>
      </c>
      <c r="J36" s="324">
        <v>0</v>
      </c>
    </row>
    <row r="37" spans="1:10" ht="29.25" thickBot="1">
      <c r="A37" s="374">
        <v>6</v>
      </c>
      <c r="B37" s="325" t="s">
        <v>229</v>
      </c>
      <c r="C37" s="374" t="s">
        <v>224</v>
      </c>
      <c r="D37" s="326">
        <v>0</v>
      </c>
      <c r="E37" s="326">
        <v>0</v>
      </c>
      <c r="F37" s="326">
        <v>0</v>
      </c>
      <c r="G37" s="326">
        <v>0</v>
      </c>
      <c r="H37" s="326">
        <v>0</v>
      </c>
      <c r="I37" s="326">
        <v>0</v>
      </c>
      <c r="J37" s="326">
        <v>0</v>
      </c>
    </row>
    <row r="38" spans="1:10" ht="15.75" thickBot="1">
      <c r="A38" s="375"/>
      <c r="B38" s="327" t="s">
        <v>209</v>
      </c>
      <c r="C38" s="375"/>
      <c r="D38" s="328">
        <v>0</v>
      </c>
      <c r="E38" s="328">
        <v>0</v>
      </c>
      <c r="F38" s="328">
        <v>0</v>
      </c>
      <c r="G38" s="328">
        <v>0</v>
      </c>
      <c r="H38" s="328">
        <v>0</v>
      </c>
      <c r="I38" s="328">
        <v>0</v>
      </c>
      <c r="J38" s="328">
        <v>0</v>
      </c>
    </row>
    <row r="39" spans="1:10" ht="15.75" thickBot="1">
      <c r="A39" s="375"/>
      <c r="B39" s="327" t="s">
        <v>219</v>
      </c>
      <c r="C39" s="375"/>
      <c r="D39" s="328">
        <v>0</v>
      </c>
      <c r="E39" s="328">
        <v>0</v>
      </c>
      <c r="F39" s="328">
        <v>0</v>
      </c>
      <c r="G39" s="328">
        <v>0</v>
      </c>
      <c r="H39" s="328">
        <v>0</v>
      </c>
      <c r="I39" s="328">
        <v>0</v>
      </c>
      <c r="J39" s="328">
        <v>0</v>
      </c>
    </row>
    <row r="40" spans="1:10" ht="15.75" thickBot="1">
      <c r="A40" s="375"/>
      <c r="B40" s="330" t="s">
        <v>218</v>
      </c>
      <c r="C40" s="375"/>
      <c r="D40" s="328">
        <v>0</v>
      </c>
      <c r="E40" s="328">
        <v>0</v>
      </c>
      <c r="F40" s="328">
        <v>0</v>
      </c>
      <c r="G40" s="328">
        <v>0</v>
      </c>
      <c r="H40" s="328">
        <v>0</v>
      </c>
      <c r="I40" s="328">
        <v>0</v>
      </c>
      <c r="J40" s="328">
        <v>0</v>
      </c>
    </row>
    <row r="41" spans="1:10" ht="15.75" thickBot="1">
      <c r="A41" s="375"/>
      <c r="B41" s="327" t="s">
        <v>217</v>
      </c>
      <c r="C41" s="375"/>
      <c r="D41" s="328">
        <v>0</v>
      </c>
      <c r="E41" s="328">
        <v>0</v>
      </c>
      <c r="F41" s="328">
        <v>0</v>
      </c>
      <c r="G41" s="328">
        <v>0</v>
      </c>
      <c r="H41" s="328">
        <v>0</v>
      </c>
      <c r="I41" s="328">
        <v>0</v>
      </c>
      <c r="J41" s="328">
        <v>0</v>
      </c>
    </row>
    <row r="42" spans="1:10" ht="15.75" thickBot="1">
      <c r="A42" s="376"/>
      <c r="B42" s="327" t="s">
        <v>216</v>
      </c>
      <c r="C42" s="376"/>
      <c r="D42" s="328">
        <v>0</v>
      </c>
      <c r="E42" s="328">
        <v>0</v>
      </c>
      <c r="F42" s="328">
        <v>0</v>
      </c>
      <c r="G42" s="328">
        <v>0</v>
      </c>
      <c r="H42" s="328">
        <v>0</v>
      </c>
      <c r="I42" s="328">
        <v>0</v>
      </c>
      <c r="J42" s="328">
        <v>0</v>
      </c>
    </row>
    <row r="43" spans="1:10" ht="15.75" thickBot="1">
      <c r="A43" s="374">
        <v>7</v>
      </c>
      <c r="B43" s="325" t="s">
        <v>228</v>
      </c>
      <c r="C43" s="374" t="s">
        <v>224</v>
      </c>
      <c r="D43" s="326">
        <v>0</v>
      </c>
      <c r="E43" s="326">
        <v>0</v>
      </c>
      <c r="F43" s="326">
        <v>0</v>
      </c>
      <c r="G43" s="326">
        <v>0</v>
      </c>
      <c r="H43" s="326">
        <v>0</v>
      </c>
      <c r="I43" s="326">
        <v>0</v>
      </c>
      <c r="J43" s="326">
        <v>0</v>
      </c>
    </row>
    <row r="44" spans="1:10" ht="15.75" thickBot="1">
      <c r="A44" s="375"/>
      <c r="B44" s="327" t="s">
        <v>209</v>
      </c>
      <c r="C44" s="375"/>
      <c r="D44" s="328">
        <v>0</v>
      </c>
      <c r="E44" s="328">
        <v>0</v>
      </c>
      <c r="F44" s="328">
        <v>0</v>
      </c>
      <c r="G44" s="328">
        <v>0</v>
      </c>
      <c r="H44" s="328">
        <v>0</v>
      </c>
      <c r="I44" s="328">
        <v>0</v>
      </c>
      <c r="J44" s="328">
        <v>0</v>
      </c>
    </row>
    <row r="45" spans="1:10" ht="15.75" thickBot="1">
      <c r="A45" s="375"/>
      <c r="B45" s="327" t="s">
        <v>219</v>
      </c>
      <c r="C45" s="375"/>
      <c r="D45" s="328">
        <v>0</v>
      </c>
      <c r="E45" s="328">
        <v>0</v>
      </c>
      <c r="F45" s="328">
        <v>0</v>
      </c>
      <c r="G45" s="328">
        <v>0</v>
      </c>
      <c r="H45" s="328">
        <v>0</v>
      </c>
      <c r="I45" s="328">
        <v>0</v>
      </c>
      <c r="J45" s="328">
        <v>0</v>
      </c>
    </row>
    <row r="46" spans="1:10" ht="15.75" thickBot="1">
      <c r="A46" s="375"/>
      <c r="B46" s="330" t="s">
        <v>218</v>
      </c>
      <c r="C46" s="375"/>
      <c r="D46" s="328">
        <v>0</v>
      </c>
      <c r="E46" s="328">
        <v>0</v>
      </c>
      <c r="F46" s="328">
        <v>0</v>
      </c>
      <c r="G46" s="328">
        <v>0</v>
      </c>
      <c r="H46" s="328">
        <v>0</v>
      </c>
      <c r="I46" s="328">
        <v>0</v>
      </c>
      <c r="J46" s="328">
        <v>0</v>
      </c>
    </row>
    <row r="47" spans="1:10" ht="15.75" thickBot="1">
      <c r="A47" s="375"/>
      <c r="B47" s="327" t="s">
        <v>217</v>
      </c>
      <c r="C47" s="375"/>
      <c r="D47" s="328">
        <v>0</v>
      </c>
      <c r="E47" s="328">
        <v>0</v>
      </c>
      <c r="F47" s="328">
        <v>0</v>
      </c>
      <c r="G47" s="328">
        <v>0</v>
      </c>
      <c r="H47" s="328">
        <v>0</v>
      </c>
      <c r="I47" s="328">
        <v>0</v>
      </c>
      <c r="J47" s="328">
        <v>0</v>
      </c>
    </row>
    <row r="48" spans="1:10" ht="15.75" thickBot="1">
      <c r="A48" s="376"/>
      <c r="B48" s="327" t="s">
        <v>216</v>
      </c>
      <c r="C48" s="376"/>
      <c r="D48" s="328">
        <v>0</v>
      </c>
      <c r="E48" s="328">
        <v>0</v>
      </c>
      <c r="F48" s="328">
        <v>0</v>
      </c>
      <c r="G48" s="328">
        <v>0</v>
      </c>
      <c r="H48" s="328">
        <v>0</v>
      </c>
      <c r="I48" s="328">
        <v>0</v>
      </c>
      <c r="J48" s="328">
        <v>0</v>
      </c>
    </row>
    <row r="49" spans="1:10" ht="15.75" thickBot="1">
      <c r="A49" s="374">
        <v>8</v>
      </c>
      <c r="B49" s="325" t="s">
        <v>227</v>
      </c>
      <c r="C49" s="374" t="s">
        <v>224</v>
      </c>
      <c r="D49" s="326">
        <v>0</v>
      </c>
      <c r="E49" s="326">
        <v>0</v>
      </c>
      <c r="F49" s="326">
        <v>0</v>
      </c>
      <c r="G49" s="326">
        <v>0</v>
      </c>
      <c r="H49" s="326">
        <v>0</v>
      </c>
      <c r="I49" s="326">
        <v>0</v>
      </c>
      <c r="J49" s="326">
        <v>0</v>
      </c>
    </row>
    <row r="50" spans="1:10" ht="15.75" thickBot="1">
      <c r="A50" s="375"/>
      <c r="B50" s="327" t="s">
        <v>209</v>
      </c>
      <c r="C50" s="375"/>
      <c r="D50" s="328">
        <v>0</v>
      </c>
      <c r="E50" s="328">
        <v>0</v>
      </c>
      <c r="F50" s="328">
        <v>0</v>
      </c>
      <c r="G50" s="328">
        <v>0</v>
      </c>
      <c r="H50" s="328">
        <v>0</v>
      </c>
      <c r="I50" s="328">
        <v>0</v>
      </c>
      <c r="J50" s="328">
        <v>0</v>
      </c>
    </row>
    <row r="51" spans="1:10" ht="15.75" thickBot="1">
      <c r="A51" s="375"/>
      <c r="B51" s="327" t="s">
        <v>219</v>
      </c>
      <c r="C51" s="375"/>
      <c r="D51" s="328">
        <v>0</v>
      </c>
      <c r="E51" s="328">
        <v>0</v>
      </c>
      <c r="F51" s="328">
        <v>0</v>
      </c>
      <c r="G51" s="328">
        <v>0</v>
      </c>
      <c r="H51" s="328">
        <v>0</v>
      </c>
      <c r="I51" s="328">
        <v>0</v>
      </c>
      <c r="J51" s="328">
        <v>0</v>
      </c>
    </row>
    <row r="52" spans="1:10" ht="15.75" thickBot="1">
      <c r="A52" s="375"/>
      <c r="B52" s="330" t="s">
        <v>218</v>
      </c>
      <c r="C52" s="375"/>
      <c r="D52" s="328">
        <v>0</v>
      </c>
      <c r="E52" s="328">
        <v>0</v>
      </c>
      <c r="F52" s="328">
        <v>0</v>
      </c>
      <c r="G52" s="328">
        <v>0</v>
      </c>
      <c r="H52" s="328">
        <v>0</v>
      </c>
      <c r="I52" s="328">
        <v>0</v>
      </c>
      <c r="J52" s="328">
        <v>0</v>
      </c>
    </row>
    <row r="53" spans="1:10" ht="15.75" thickBot="1">
      <c r="A53" s="375"/>
      <c r="B53" s="327" t="s">
        <v>217</v>
      </c>
      <c r="C53" s="375"/>
      <c r="D53" s="328">
        <v>0</v>
      </c>
      <c r="E53" s="328">
        <v>0</v>
      </c>
      <c r="F53" s="328">
        <v>0</v>
      </c>
      <c r="G53" s="328">
        <v>0</v>
      </c>
      <c r="H53" s="328">
        <v>0</v>
      </c>
      <c r="I53" s="328">
        <v>0</v>
      </c>
      <c r="J53" s="328">
        <v>0</v>
      </c>
    </row>
    <row r="54" spans="1:10" ht="15.75" thickBot="1">
      <c r="A54" s="376"/>
      <c r="B54" s="327" t="s">
        <v>216</v>
      </c>
      <c r="C54" s="376"/>
      <c r="D54" s="328">
        <v>0</v>
      </c>
      <c r="E54" s="328">
        <v>0</v>
      </c>
      <c r="F54" s="328">
        <v>0</v>
      </c>
      <c r="G54" s="328">
        <v>0</v>
      </c>
      <c r="H54" s="328">
        <v>0</v>
      </c>
      <c r="I54" s="328">
        <v>0</v>
      </c>
      <c r="J54" s="328">
        <v>0</v>
      </c>
    </row>
    <row r="55" spans="1:10" ht="15.75" thickBot="1">
      <c r="A55" s="374">
        <v>9</v>
      </c>
      <c r="B55" s="325" t="s">
        <v>582</v>
      </c>
      <c r="C55" s="374" t="s">
        <v>224</v>
      </c>
      <c r="D55" s="326">
        <v>483.44</v>
      </c>
      <c r="E55" s="326">
        <v>7.67</v>
      </c>
      <c r="F55" s="326">
        <v>502.44</v>
      </c>
      <c r="G55" s="326">
        <v>521.44000000000005</v>
      </c>
      <c r="H55" s="326">
        <v>540.44000000000005</v>
      </c>
      <c r="I55" s="326">
        <v>559.44000000000005</v>
      </c>
      <c r="J55" s="326">
        <v>580.24</v>
      </c>
    </row>
    <row r="56" spans="1:10" ht="15.75" thickBot="1">
      <c r="A56" s="375"/>
      <c r="B56" s="327" t="s">
        <v>209</v>
      </c>
      <c r="C56" s="375"/>
      <c r="D56" s="328">
        <v>190.84</v>
      </c>
      <c r="E56" s="328">
        <v>0</v>
      </c>
      <c r="F56" s="328">
        <v>217.51</v>
      </c>
      <c r="G56" s="328">
        <v>243.81</v>
      </c>
      <c r="H56" s="328">
        <v>268.77</v>
      </c>
      <c r="I56" s="328">
        <v>297.97000000000003</v>
      </c>
      <c r="J56" s="328">
        <v>320.39</v>
      </c>
    </row>
    <row r="57" spans="1:10" ht="15.75" thickBot="1">
      <c r="A57" s="375"/>
      <c r="B57" s="327" t="s">
        <v>219</v>
      </c>
      <c r="C57" s="375"/>
      <c r="D57" s="328">
        <v>290</v>
      </c>
      <c r="E57" s="328">
        <v>6.07</v>
      </c>
      <c r="F57" s="328">
        <v>283.93</v>
      </c>
      <c r="G57" s="328">
        <v>276.93</v>
      </c>
      <c r="H57" s="328">
        <v>271.17</v>
      </c>
      <c r="I57" s="324">
        <v>261.17</v>
      </c>
      <c r="J57" s="324">
        <v>259.64999999999998</v>
      </c>
    </row>
    <row r="58" spans="1:10" ht="15.75" thickBot="1">
      <c r="A58" s="375"/>
      <c r="B58" s="330" t="s">
        <v>218</v>
      </c>
      <c r="C58" s="375"/>
      <c r="D58" s="328">
        <v>2.6</v>
      </c>
      <c r="E58" s="328">
        <v>1.6</v>
      </c>
      <c r="F58" s="328">
        <v>1</v>
      </c>
      <c r="G58" s="328">
        <v>0.7</v>
      </c>
      <c r="H58" s="328">
        <v>0.5</v>
      </c>
      <c r="I58" s="328">
        <v>0.3</v>
      </c>
      <c r="J58" s="328">
        <v>0.2</v>
      </c>
    </row>
    <row r="59" spans="1:10" ht="15.75" thickBot="1">
      <c r="A59" s="375"/>
      <c r="B59" s="327" t="s">
        <v>217</v>
      </c>
      <c r="C59" s="375"/>
      <c r="D59" s="328">
        <v>0</v>
      </c>
      <c r="E59" s="328">
        <v>0</v>
      </c>
      <c r="F59" s="328">
        <v>0</v>
      </c>
      <c r="G59" s="328">
        <v>0</v>
      </c>
      <c r="H59" s="328">
        <v>0</v>
      </c>
      <c r="I59" s="328">
        <v>0</v>
      </c>
      <c r="J59" s="328">
        <v>0</v>
      </c>
    </row>
    <row r="60" spans="1:10" ht="15.75" thickBot="1">
      <c r="A60" s="376"/>
      <c r="B60" s="327" t="s">
        <v>216</v>
      </c>
      <c r="C60" s="376"/>
      <c r="D60" s="328">
        <v>0</v>
      </c>
      <c r="E60" s="328">
        <v>0</v>
      </c>
      <c r="F60" s="328">
        <v>0</v>
      </c>
      <c r="G60" s="328">
        <v>0</v>
      </c>
      <c r="H60" s="328">
        <v>0</v>
      </c>
      <c r="I60" s="328">
        <v>0</v>
      </c>
      <c r="J60" s="328">
        <v>0</v>
      </c>
    </row>
    <row r="61" spans="1:10" ht="15.75" thickBot="1">
      <c r="A61" s="374">
        <v>10</v>
      </c>
      <c r="B61" s="325" t="s">
        <v>225</v>
      </c>
      <c r="C61" s="374" t="s">
        <v>224</v>
      </c>
      <c r="D61" s="326">
        <v>330.5</v>
      </c>
      <c r="E61" s="326">
        <v>1.9</v>
      </c>
      <c r="F61" s="326">
        <v>330.5</v>
      </c>
      <c r="G61" s="326">
        <v>330.5</v>
      </c>
      <c r="H61" s="326">
        <v>330.5</v>
      </c>
      <c r="I61" s="326">
        <v>330.68</v>
      </c>
      <c r="J61" s="326">
        <v>330.73</v>
      </c>
    </row>
    <row r="62" spans="1:10" ht="15.75" thickBot="1">
      <c r="A62" s="375"/>
      <c r="B62" s="327" t="s">
        <v>209</v>
      </c>
      <c r="C62" s="375"/>
      <c r="D62" s="328">
        <v>170.29</v>
      </c>
      <c r="E62" s="328">
        <v>0</v>
      </c>
      <c r="F62" s="328">
        <v>172.19</v>
      </c>
      <c r="G62" s="328">
        <v>172.92</v>
      </c>
      <c r="H62" s="328">
        <v>175.06</v>
      </c>
      <c r="I62" s="328">
        <v>175.57</v>
      </c>
      <c r="J62" s="328">
        <v>176.02</v>
      </c>
    </row>
    <row r="63" spans="1:10" ht="15.75" thickBot="1">
      <c r="A63" s="375"/>
      <c r="B63" s="327" t="s">
        <v>219</v>
      </c>
      <c r="C63" s="375"/>
      <c r="D63" s="328">
        <v>158.61000000000001</v>
      </c>
      <c r="E63" s="328">
        <v>1.3</v>
      </c>
      <c r="F63" s="328">
        <v>157.31</v>
      </c>
      <c r="G63" s="324">
        <v>157.18</v>
      </c>
      <c r="H63" s="324">
        <v>155.18</v>
      </c>
      <c r="I63" s="324">
        <v>154.97999999999999</v>
      </c>
      <c r="J63" s="324">
        <v>154.63999999999999</v>
      </c>
    </row>
    <row r="64" spans="1:10" ht="15.75" thickBot="1">
      <c r="A64" s="375"/>
      <c r="B64" s="330" t="s">
        <v>218</v>
      </c>
      <c r="C64" s="375"/>
      <c r="D64" s="328">
        <v>1.6</v>
      </c>
      <c r="E64" s="328">
        <v>0.6</v>
      </c>
      <c r="F64" s="328">
        <v>1</v>
      </c>
      <c r="G64" s="328">
        <v>0.4</v>
      </c>
      <c r="H64" s="328">
        <v>0.26</v>
      </c>
      <c r="I64" s="328">
        <v>0.13</v>
      </c>
      <c r="J64" s="328">
        <v>7.0000000000000007E-2</v>
      </c>
    </row>
    <row r="65" spans="1:10" ht="15.75" thickBot="1">
      <c r="A65" s="375"/>
      <c r="B65" s="327" t="s">
        <v>217</v>
      </c>
      <c r="C65" s="375"/>
      <c r="D65" s="328">
        <v>0</v>
      </c>
      <c r="E65" s="328">
        <v>0</v>
      </c>
      <c r="F65" s="328">
        <v>0</v>
      </c>
      <c r="G65" s="328">
        <v>0</v>
      </c>
      <c r="H65" s="328">
        <v>0</v>
      </c>
      <c r="I65" s="328">
        <v>0</v>
      </c>
      <c r="J65" s="328">
        <v>0</v>
      </c>
    </row>
    <row r="66" spans="1:10" ht="15.75" thickBot="1">
      <c r="A66" s="376"/>
      <c r="B66" s="327" t="s">
        <v>216</v>
      </c>
      <c r="C66" s="376"/>
      <c r="D66" s="328">
        <v>0</v>
      </c>
      <c r="E66" s="328">
        <v>0</v>
      </c>
      <c r="F66" s="328">
        <v>0</v>
      </c>
      <c r="G66" s="328">
        <v>0</v>
      </c>
      <c r="H66" s="328">
        <v>0</v>
      </c>
      <c r="I66" s="328">
        <v>0</v>
      </c>
      <c r="J66" s="328">
        <v>0</v>
      </c>
    </row>
    <row r="67" spans="1:10" ht="43.5" thickBot="1">
      <c r="A67" s="374">
        <v>11</v>
      </c>
      <c r="B67" s="325" t="s">
        <v>223</v>
      </c>
      <c r="C67" s="374" t="s">
        <v>210</v>
      </c>
      <c r="D67" s="326">
        <v>0</v>
      </c>
      <c r="E67" s="326">
        <v>0</v>
      </c>
      <c r="F67" s="326">
        <v>0</v>
      </c>
      <c r="G67" s="326">
        <v>0</v>
      </c>
      <c r="H67" s="326">
        <v>0</v>
      </c>
      <c r="I67" s="326">
        <v>0</v>
      </c>
      <c r="J67" s="326">
        <v>0</v>
      </c>
    </row>
    <row r="68" spans="1:10" ht="15.75" thickBot="1">
      <c r="A68" s="375"/>
      <c r="B68" s="327" t="s">
        <v>209</v>
      </c>
      <c r="C68" s="375"/>
      <c r="D68" s="328">
        <v>0</v>
      </c>
      <c r="E68" s="328">
        <v>0</v>
      </c>
      <c r="F68" s="328">
        <v>0</v>
      </c>
      <c r="G68" s="328">
        <v>0</v>
      </c>
      <c r="H68" s="328">
        <v>0</v>
      </c>
      <c r="I68" s="328">
        <v>0</v>
      </c>
      <c r="J68" s="328">
        <v>0</v>
      </c>
    </row>
    <row r="69" spans="1:10" ht="15.75" thickBot="1">
      <c r="A69" s="375"/>
      <c r="B69" s="327" t="s">
        <v>219</v>
      </c>
      <c r="C69" s="375"/>
      <c r="D69" s="328">
        <v>0</v>
      </c>
      <c r="E69" s="328">
        <v>0</v>
      </c>
      <c r="F69" s="328">
        <v>0</v>
      </c>
      <c r="G69" s="328">
        <v>0</v>
      </c>
      <c r="H69" s="328">
        <v>0</v>
      </c>
      <c r="I69" s="328">
        <v>0</v>
      </c>
      <c r="J69" s="328">
        <v>0</v>
      </c>
    </row>
    <row r="70" spans="1:10" ht="15.75" thickBot="1">
      <c r="A70" s="375"/>
      <c r="B70" s="330" t="s">
        <v>218</v>
      </c>
      <c r="C70" s="375"/>
      <c r="D70" s="328">
        <v>0</v>
      </c>
      <c r="E70" s="328">
        <v>0</v>
      </c>
      <c r="F70" s="328">
        <v>0</v>
      </c>
      <c r="G70" s="328">
        <v>0</v>
      </c>
      <c r="H70" s="328">
        <v>0</v>
      </c>
      <c r="I70" s="328">
        <v>0</v>
      </c>
      <c r="J70" s="328">
        <v>0</v>
      </c>
    </row>
    <row r="71" spans="1:10" ht="15.75" thickBot="1">
      <c r="A71" s="376"/>
      <c r="B71" s="327" t="s">
        <v>217</v>
      </c>
      <c r="C71" s="376"/>
      <c r="D71" s="328">
        <v>0</v>
      </c>
      <c r="E71" s="328">
        <v>0</v>
      </c>
      <c r="F71" s="328">
        <v>0</v>
      </c>
      <c r="G71" s="328">
        <v>0</v>
      </c>
      <c r="H71" s="328">
        <v>0</v>
      </c>
      <c r="I71" s="328">
        <v>0</v>
      </c>
      <c r="J71" s="328">
        <v>0</v>
      </c>
    </row>
    <row r="72" spans="1:10" ht="29.25" thickBot="1">
      <c r="A72" s="374">
        <v>12</v>
      </c>
      <c r="B72" s="325" t="s">
        <v>583</v>
      </c>
      <c r="C72" s="374" t="s">
        <v>210</v>
      </c>
      <c r="D72" s="378">
        <v>8</v>
      </c>
      <c r="E72" s="378">
        <v>0</v>
      </c>
      <c r="F72" s="378">
        <v>9</v>
      </c>
      <c r="G72" s="378">
        <v>9</v>
      </c>
      <c r="H72" s="378">
        <v>9</v>
      </c>
      <c r="I72" s="378">
        <v>9</v>
      </c>
      <c r="J72" s="378">
        <v>10</v>
      </c>
    </row>
    <row r="73" spans="1:10" ht="15.75" thickBot="1">
      <c r="A73" s="375"/>
      <c r="B73" s="325" t="s">
        <v>584</v>
      </c>
      <c r="C73" s="375"/>
      <c r="D73" s="379"/>
      <c r="E73" s="379"/>
      <c r="F73" s="379"/>
      <c r="G73" s="379"/>
      <c r="H73" s="379"/>
      <c r="I73" s="379"/>
      <c r="J73" s="379"/>
    </row>
    <row r="74" spans="1:10" ht="15.75" thickBot="1">
      <c r="A74" s="375"/>
      <c r="B74" s="327" t="s">
        <v>209</v>
      </c>
      <c r="C74" s="375"/>
      <c r="D74" s="328">
        <v>0</v>
      </c>
      <c r="E74" s="328">
        <v>0</v>
      </c>
      <c r="F74" s="328">
        <v>2</v>
      </c>
      <c r="G74" s="324">
        <v>3</v>
      </c>
      <c r="H74" s="324">
        <v>4</v>
      </c>
      <c r="I74" s="324">
        <v>6</v>
      </c>
      <c r="J74" s="324">
        <v>8</v>
      </c>
    </row>
    <row r="75" spans="1:10" ht="15.75" thickBot="1">
      <c r="A75" s="375"/>
      <c r="B75" s="327" t="s">
        <v>219</v>
      </c>
      <c r="C75" s="375"/>
      <c r="D75" s="328">
        <v>8</v>
      </c>
      <c r="E75" s="328">
        <v>1</v>
      </c>
      <c r="F75" s="328">
        <v>7</v>
      </c>
      <c r="G75" s="324">
        <v>6</v>
      </c>
      <c r="H75" s="324">
        <v>5</v>
      </c>
      <c r="I75" s="324">
        <v>3</v>
      </c>
      <c r="J75" s="324">
        <v>2</v>
      </c>
    </row>
    <row r="76" spans="1:10" ht="15.75" thickBot="1">
      <c r="A76" s="375"/>
      <c r="B76" s="330" t="s">
        <v>218</v>
      </c>
      <c r="C76" s="375"/>
      <c r="D76" s="328">
        <v>0</v>
      </c>
      <c r="E76" s="328">
        <v>0</v>
      </c>
      <c r="F76" s="328">
        <v>0</v>
      </c>
      <c r="G76" s="328">
        <v>0</v>
      </c>
      <c r="H76" s="328">
        <v>0</v>
      </c>
      <c r="I76" s="328">
        <v>0</v>
      </c>
      <c r="J76" s="328">
        <v>0</v>
      </c>
    </row>
    <row r="77" spans="1:10" ht="15.75" thickBot="1">
      <c r="A77" s="376"/>
      <c r="B77" s="327" t="s">
        <v>217</v>
      </c>
      <c r="C77" s="376"/>
      <c r="D77" s="328">
        <v>0</v>
      </c>
      <c r="E77" s="328">
        <v>0</v>
      </c>
      <c r="F77" s="328">
        <v>0</v>
      </c>
      <c r="G77" s="328">
        <v>0</v>
      </c>
      <c r="H77" s="328">
        <v>0</v>
      </c>
      <c r="I77" s="328">
        <v>0</v>
      </c>
      <c r="J77" s="328">
        <v>0</v>
      </c>
    </row>
    <row r="78" spans="1:10" ht="29.25" thickBot="1">
      <c r="A78" s="374">
        <v>13</v>
      </c>
      <c r="B78" s="325" t="s">
        <v>583</v>
      </c>
      <c r="C78" s="374" t="s">
        <v>210</v>
      </c>
      <c r="D78" s="378">
        <v>22</v>
      </c>
      <c r="E78" s="378">
        <v>4</v>
      </c>
      <c r="F78" s="378">
        <v>22</v>
      </c>
      <c r="G78" s="378">
        <v>22</v>
      </c>
      <c r="H78" s="378">
        <v>22</v>
      </c>
      <c r="I78" s="378">
        <v>22</v>
      </c>
      <c r="J78" s="378">
        <v>22</v>
      </c>
    </row>
    <row r="79" spans="1:10" ht="15.75" thickBot="1">
      <c r="A79" s="375"/>
      <c r="B79" s="325" t="s">
        <v>585</v>
      </c>
      <c r="C79" s="375"/>
      <c r="D79" s="379"/>
      <c r="E79" s="379"/>
      <c r="F79" s="379"/>
      <c r="G79" s="379"/>
      <c r="H79" s="379"/>
      <c r="I79" s="379"/>
      <c r="J79" s="379"/>
    </row>
    <row r="80" spans="1:10" ht="15.75" thickBot="1">
      <c r="A80" s="375"/>
      <c r="B80" s="327" t="s">
        <v>209</v>
      </c>
      <c r="C80" s="375"/>
      <c r="D80" s="328">
        <v>0</v>
      </c>
      <c r="E80" s="328">
        <v>0</v>
      </c>
      <c r="F80" s="328">
        <v>6</v>
      </c>
      <c r="G80" s="328">
        <v>7</v>
      </c>
      <c r="H80" s="328">
        <v>9</v>
      </c>
      <c r="I80" s="328">
        <v>11</v>
      </c>
      <c r="J80" s="328">
        <v>12</v>
      </c>
    </row>
    <row r="81" spans="1:10" ht="15.75" thickBot="1">
      <c r="A81" s="375"/>
      <c r="B81" s="327" t="s">
        <v>219</v>
      </c>
      <c r="C81" s="375"/>
      <c r="D81" s="328">
        <v>21</v>
      </c>
      <c r="E81" s="328">
        <v>6</v>
      </c>
      <c r="F81" s="328">
        <v>15</v>
      </c>
      <c r="G81" s="324">
        <v>14</v>
      </c>
      <c r="H81" s="324">
        <v>12</v>
      </c>
      <c r="I81" s="324">
        <v>10</v>
      </c>
      <c r="J81" s="324">
        <v>9</v>
      </c>
    </row>
    <row r="82" spans="1:10" ht="15.75" thickBot="1">
      <c r="A82" s="375"/>
      <c r="B82" s="330" t="s">
        <v>218</v>
      </c>
      <c r="C82" s="375"/>
      <c r="D82" s="328">
        <v>1</v>
      </c>
      <c r="E82" s="328">
        <v>1</v>
      </c>
      <c r="F82" s="328">
        <v>1</v>
      </c>
      <c r="G82" s="328">
        <v>1</v>
      </c>
      <c r="H82" s="328">
        <v>1</v>
      </c>
      <c r="I82" s="328">
        <v>1</v>
      </c>
      <c r="J82" s="328">
        <v>1</v>
      </c>
    </row>
    <row r="83" spans="1:10" ht="15.75" thickBot="1">
      <c r="A83" s="376"/>
      <c r="B83" s="327" t="s">
        <v>217</v>
      </c>
      <c r="C83" s="376"/>
      <c r="D83" s="328">
        <v>0</v>
      </c>
      <c r="E83" s="328">
        <v>0</v>
      </c>
      <c r="F83" s="328">
        <v>0</v>
      </c>
      <c r="G83" s="328">
        <v>0</v>
      </c>
      <c r="H83" s="328">
        <v>0</v>
      </c>
      <c r="I83" s="328">
        <v>0</v>
      </c>
      <c r="J83" s="328">
        <v>0</v>
      </c>
    </row>
    <row r="84" spans="1:10" ht="57.75" thickBot="1">
      <c r="A84" s="374">
        <v>14</v>
      </c>
      <c r="B84" s="325" t="s">
        <v>586</v>
      </c>
      <c r="C84" s="374" t="s">
        <v>210</v>
      </c>
      <c r="D84" s="333">
        <v>688</v>
      </c>
      <c r="E84" s="326">
        <v>90</v>
      </c>
      <c r="F84" s="333">
        <v>690</v>
      </c>
      <c r="G84" s="333">
        <v>692</v>
      </c>
      <c r="H84" s="333">
        <v>694</v>
      </c>
      <c r="I84" s="333">
        <v>696</v>
      </c>
      <c r="J84" s="333">
        <v>698</v>
      </c>
    </row>
    <row r="85" spans="1:10" ht="15.75" thickBot="1">
      <c r="A85" s="375"/>
      <c r="B85" s="327" t="s">
        <v>209</v>
      </c>
      <c r="C85" s="375"/>
      <c r="D85" s="328">
        <v>477</v>
      </c>
      <c r="E85" s="328">
        <v>0</v>
      </c>
      <c r="F85" s="328">
        <v>569</v>
      </c>
      <c r="G85" s="328">
        <v>606</v>
      </c>
      <c r="H85" s="328">
        <v>638</v>
      </c>
      <c r="I85" s="328">
        <v>668</v>
      </c>
      <c r="J85" s="328">
        <v>693</v>
      </c>
    </row>
    <row r="86" spans="1:10" ht="15.75" thickBot="1">
      <c r="A86" s="375"/>
      <c r="B86" s="327" t="s">
        <v>219</v>
      </c>
      <c r="C86" s="375"/>
      <c r="D86" s="328">
        <v>103</v>
      </c>
      <c r="E86" s="328">
        <v>22</v>
      </c>
      <c r="F86" s="328">
        <v>81</v>
      </c>
      <c r="G86" s="324">
        <v>61</v>
      </c>
      <c r="H86" s="324">
        <v>41</v>
      </c>
      <c r="I86" s="324">
        <v>21</v>
      </c>
      <c r="J86" s="324">
        <v>1</v>
      </c>
    </row>
    <row r="87" spans="1:10" ht="15.75" thickBot="1">
      <c r="A87" s="375"/>
      <c r="B87" s="330" t="s">
        <v>218</v>
      </c>
      <c r="C87" s="375"/>
      <c r="D87" s="328">
        <v>108</v>
      </c>
      <c r="E87" s="328">
        <v>68</v>
      </c>
      <c r="F87" s="328">
        <v>40</v>
      </c>
      <c r="G87" s="328">
        <v>25</v>
      </c>
      <c r="H87" s="328">
        <v>15</v>
      </c>
      <c r="I87" s="328">
        <v>7</v>
      </c>
      <c r="J87" s="328">
        <v>4</v>
      </c>
    </row>
    <row r="88" spans="1:10" ht="15.75" thickBot="1">
      <c r="A88" s="375"/>
      <c r="B88" s="327" t="s">
        <v>217</v>
      </c>
      <c r="C88" s="375"/>
      <c r="D88" s="328">
        <v>0</v>
      </c>
      <c r="E88" s="328">
        <v>0</v>
      </c>
      <c r="F88" s="328">
        <v>0</v>
      </c>
      <c r="G88" s="328">
        <v>0</v>
      </c>
      <c r="H88" s="328">
        <v>0</v>
      </c>
      <c r="I88" s="328">
        <v>0</v>
      </c>
      <c r="J88" s="328">
        <v>0</v>
      </c>
    </row>
    <row r="89" spans="1:10" ht="15.75" thickBot="1">
      <c r="A89" s="376"/>
      <c r="B89" s="327" t="s">
        <v>216</v>
      </c>
      <c r="C89" s="376"/>
      <c r="D89" s="328">
        <v>0</v>
      </c>
      <c r="E89" s="328">
        <v>0</v>
      </c>
      <c r="F89" s="328">
        <v>0</v>
      </c>
      <c r="G89" s="328">
        <v>0</v>
      </c>
      <c r="H89" s="328">
        <v>0</v>
      </c>
      <c r="I89" s="328">
        <v>0</v>
      </c>
      <c r="J89" s="328">
        <v>0</v>
      </c>
    </row>
    <row r="90" spans="1:10" ht="43.5" thickBot="1">
      <c r="A90" s="374">
        <v>15</v>
      </c>
      <c r="B90" s="325" t="s">
        <v>215</v>
      </c>
      <c r="C90" s="374" t="s">
        <v>210</v>
      </c>
      <c r="D90" s="326">
        <v>0</v>
      </c>
      <c r="E90" s="326">
        <v>0</v>
      </c>
      <c r="F90" s="326">
        <v>0</v>
      </c>
      <c r="G90" s="326">
        <v>0</v>
      </c>
      <c r="H90" s="326">
        <v>0</v>
      </c>
      <c r="I90" s="326">
        <v>0</v>
      </c>
      <c r="J90" s="326">
        <v>0</v>
      </c>
    </row>
    <row r="91" spans="1:10" ht="15.75" thickBot="1">
      <c r="A91" s="375"/>
      <c r="B91" s="327" t="s">
        <v>209</v>
      </c>
      <c r="C91" s="375"/>
      <c r="D91" s="328">
        <v>0</v>
      </c>
      <c r="E91" s="328">
        <v>0</v>
      </c>
      <c r="F91" s="328">
        <v>0</v>
      </c>
      <c r="G91" s="328">
        <v>0</v>
      </c>
      <c r="H91" s="328">
        <v>0</v>
      </c>
      <c r="I91" s="328">
        <v>0</v>
      </c>
      <c r="J91" s="328">
        <v>0</v>
      </c>
    </row>
    <row r="92" spans="1:10" ht="60.75" thickBot="1">
      <c r="A92" s="375"/>
      <c r="B92" s="327" t="s">
        <v>214</v>
      </c>
      <c r="C92" s="375"/>
      <c r="D92" s="328">
        <v>0</v>
      </c>
      <c r="E92" s="328">
        <v>0</v>
      </c>
      <c r="F92" s="328">
        <v>0</v>
      </c>
      <c r="G92" s="328">
        <v>0</v>
      </c>
      <c r="H92" s="328">
        <v>0</v>
      </c>
      <c r="I92" s="328">
        <v>0</v>
      </c>
      <c r="J92" s="328">
        <v>0</v>
      </c>
    </row>
    <row r="93" spans="1:10" ht="30.75" thickBot="1">
      <c r="A93" s="376"/>
      <c r="B93" s="327" t="s">
        <v>207</v>
      </c>
      <c r="C93" s="376"/>
      <c r="D93" s="328">
        <v>0</v>
      </c>
      <c r="E93" s="328">
        <v>0</v>
      </c>
      <c r="F93" s="328">
        <v>0</v>
      </c>
      <c r="G93" s="328">
        <v>0</v>
      </c>
      <c r="H93" s="328">
        <v>0</v>
      </c>
      <c r="I93" s="328">
        <v>0</v>
      </c>
      <c r="J93" s="328">
        <v>0</v>
      </c>
    </row>
    <row r="94" spans="1:10" ht="43.5" thickBot="1">
      <c r="A94" s="374">
        <v>16</v>
      </c>
      <c r="B94" s="325" t="s">
        <v>213</v>
      </c>
      <c r="C94" s="374" t="s">
        <v>210</v>
      </c>
      <c r="D94" s="333">
        <v>14</v>
      </c>
      <c r="E94" s="326">
        <v>0</v>
      </c>
      <c r="F94" s="333">
        <v>16</v>
      </c>
      <c r="G94" s="333">
        <v>16</v>
      </c>
      <c r="H94" s="333">
        <v>16</v>
      </c>
      <c r="I94" s="333">
        <v>16</v>
      </c>
      <c r="J94" s="333">
        <v>18</v>
      </c>
    </row>
    <row r="95" spans="1:10" ht="15.75" thickBot="1">
      <c r="A95" s="375"/>
      <c r="B95" s="327" t="s">
        <v>209</v>
      </c>
      <c r="C95" s="375"/>
      <c r="D95" s="328">
        <v>1</v>
      </c>
      <c r="E95" s="328"/>
      <c r="F95" s="328">
        <v>3</v>
      </c>
      <c r="G95" s="324">
        <v>4</v>
      </c>
      <c r="H95" s="324">
        <v>6</v>
      </c>
      <c r="I95" s="324">
        <v>9</v>
      </c>
      <c r="J95" s="324">
        <v>14</v>
      </c>
    </row>
    <row r="96" spans="1:10" ht="30.75" thickBot="1">
      <c r="A96" s="375"/>
      <c r="B96" s="327" t="s">
        <v>208</v>
      </c>
      <c r="C96" s="375"/>
      <c r="D96" s="328">
        <v>13</v>
      </c>
      <c r="E96" s="328">
        <v>0</v>
      </c>
      <c r="F96" s="328">
        <v>13</v>
      </c>
      <c r="G96" s="324">
        <v>12</v>
      </c>
      <c r="H96" s="324">
        <v>10</v>
      </c>
      <c r="I96" s="324">
        <v>7</v>
      </c>
      <c r="J96" s="324">
        <v>4</v>
      </c>
    </row>
    <row r="97" spans="1:10" ht="30.75" thickBot="1">
      <c r="A97" s="376"/>
      <c r="B97" s="327" t="s">
        <v>207</v>
      </c>
      <c r="C97" s="376"/>
      <c r="D97" s="328">
        <v>0</v>
      </c>
      <c r="E97" s="328">
        <v>0</v>
      </c>
      <c r="F97" s="328">
        <v>0</v>
      </c>
      <c r="G97" s="328">
        <v>0</v>
      </c>
      <c r="H97" s="324">
        <v>0</v>
      </c>
      <c r="I97" s="324">
        <v>0</v>
      </c>
      <c r="J97" s="324">
        <v>0</v>
      </c>
    </row>
    <row r="98" spans="1:10" ht="43.5" thickBot="1">
      <c r="A98" s="374">
        <v>17</v>
      </c>
      <c r="B98" s="325" t="s">
        <v>212</v>
      </c>
      <c r="C98" s="374" t="s">
        <v>210</v>
      </c>
      <c r="D98" s="333">
        <v>40</v>
      </c>
      <c r="E98" s="333">
        <v>6</v>
      </c>
      <c r="F98" s="333">
        <v>41</v>
      </c>
      <c r="G98" s="333">
        <v>41</v>
      </c>
      <c r="H98" s="333">
        <v>41</v>
      </c>
      <c r="I98" s="333">
        <v>41</v>
      </c>
      <c r="J98" s="333">
        <v>41</v>
      </c>
    </row>
    <row r="99" spans="1:10" ht="15.75" thickBot="1">
      <c r="A99" s="375"/>
      <c r="B99" s="327" t="s">
        <v>209</v>
      </c>
      <c r="C99" s="375"/>
      <c r="D99" s="328">
        <v>14</v>
      </c>
      <c r="E99" s="328">
        <v>1</v>
      </c>
      <c r="F99" s="328">
        <v>20</v>
      </c>
      <c r="G99" s="324">
        <v>22</v>
      </c>
      <c r="H99" s="324">
        <v>23</v>
      </c>
      <c r="I99" s="324">
        <v>25</v>
      </c>
      <c r="J99" s="324">
        <v>26</v>
      </c>
    </row>
    <row r="100" spans="1:10" ht="30.75" thickBot="1">
      <c r="A100" s="375"/>
      <c r="B100" s="327" t="s">
        <v>208</v>
      </c>
      <c r="C100" s="375"/>
      <c r="D100" s="328">
        <v>25</v>
      </c>
      <c r="E100" s="328">
        <v>4</v>
      </c>
      <c r="F100" s="328">
        <v>21</v>
      </c>
      <c r="G100" s="324">
        <v>19</v>
      </c>
      <c r="H100" s="324">
        <v>18</v>
      </c>
      <c r="I100" s="324">
        <v>16</v>
      </c>
      <c r="J100" s="324">
        <v>15</v>
      </c>
    </row>
    <row r="101" spans="1:10" ht="30.75" thickBot="1">
      <c r="A101" s="376"/>
      <c r="B101" s="327" t="s">
        <v>207</v>
      </c>
      <c r="C101" s="376"/>
      <c r="D101" s="328">
        <v>1</v>
      </c>
      <c r="E101" s="328">
        <v>1</v>
      </c>
      <c r="F101" s="328">
        <v>0</v>
      </c>
      <c r="G101" s="324">
        <v>0</v>
      </c>
      <c r="H101" s="324">
        <v>0</v>
      </c>
      <c r="I101" s="324">
        <v>0</v>
      </c>
      <c r="J101" s="324">
        <v>0</v>
      </c>
    </row>
    <row r="102" spans="1:10" ht="43.5" thickBot="1">
      <c r="A102" s="374">
        <v>18</v>
      </c>
      <c r="B102" s="325" t="s">
        <v>211</v>
      </c>
      <c r="C102" s="374" t="s">
        <v>210</v>
      </c>
      <c r="D102" s="333">
        <v>922</v>
      </c>
      <c r="E102" s="326">
        <v>47</v>
      </c>
      <c r="F102" s="333">
        <v>924</v>
      </c>
      <c r="G102" s="333">
        <v>931</v>
      </c>
      <c r="H102" s="333">
        <v>935</v>
      </c>
      <c r="I102" s="333">
        <v>936</v>
      </c>
      <c r="J102" s="333">
        <v>937</v>
      </c>
    </row>
    <row r="103" spans="1:10" ht="15.75" thickBot="1">
      <c r="A103" s="375"/>
      <c r="B103" s="327" t="s">
        <v>209</v>
      </c>
      <c r="C103" s="375"/>
      <c r="D103" s="328">
        <v>365</v>
      </c>
      <c r="E103" s="328">
        <v>0</v>
      </c>
      <c r="F103" s="328">
        <v>414</v>
      </c>
      <c r="G103" s="328">
        <v>457</v>
      </c>
      <c r="H103" s="328">
        <v>495</v>
      </c>
      <c r="I103" s="328">
        <v>528</v>
      </c>
      <c r="J103" s="328">
        <v>554</v>
      </c>
    </row>
    <row r="104" spans="1:10" ht="30.75" thickBot="1">
      <c r="A104" s="375"/>
      <c r="B104" s="327" t="s">
        <v>208</v>
      </c>
      <c r="C104" s="375"/>
      <c r="D104" s="328">
        <v>557</v>
      </c>
      <c r="E104" s="328">
        <v>47</v>
      </c>
      <c r="F104" s="328">
        <v>510</v>
      </c>
      <c r="G104" s="332">
        <v>480</v>
      </c>
      <c r="H104" s="332">
        <v>440</v>
      </c>
      <c r="I104" s="332">
        <v>410</v>
      </c>
      <c r="J104" s="332">
        <v>385</v>
      </c>
    </row>
    <row r="105" spans="1:10" ht="30.75" thickBot="1">
      <c r="A105" s="377"/>
      <c r="B105" s="327" t="s">
        <v>207</v>
      </c>
      <c r="C105" s="377"/>
      <c r="D105" s="328">
        <v>0</v>
      </c>
      <c r="E105" s="328">
        <v>0</v>
      </c>
      <c r="F105" s="328">
        <v>0</v>
      </c>
      <c r="G105" s="324">
        <v>0</v>
      </c>
      <c r="H105" s="324">
        <v>0</v>
      </c>
      <c r="I105" s="324">
        <v>0</v>
      </c>
      <c r="J105" s="324">
        <v>0</v>
      </c>
    </row>
  </sheetData>
  <mergeCells count="52">
    <mergeCell ref="C31:C36"/>
    <mergeCell ref="A3:J3"/>
    <mergeCell ref="A4:A5"/>
    <mergeCell ref="C4:C5"/>
    <mergeCell ref="D4:D5"/>
    <mergeCell ref="E4:E5"/>
    <mergeCell ref="F4:J4"/>
    <mergeCell ref="A7:A12"/>
    <mergeCell ref="A13:A18"/>
    <mergeCell ref="A19:A24"/>
    <mergeCell ref="A25:A30"/>
    <mergeCell ref="A31:A36"/>
    <mergeCell ref="A37:A42"/>
    <mergeCell ref="C37:C42"/>
    <mergeCell ref="A43:A48"/>
    <mergeCell ref="C43:C48"/>
    <mergeCell ref="A49:A54"/>
    <mergeCell ref="C49:C54"/>
    <mergeCell ref="A55:A60"/>
    <mergeCell ref="C55:C60"/>
    <mergeCell ref="A61:A66"/>
    <mergeCell ref="C61:C66"/>
    <mergeCell ref="A67:A71"/>
    <mergeCell ref="C67:C71"/>
    <mergeCell ref="H72:H73"/>
    <mergeCell ref="I72:I73"/>
    <mergeCell ref="J72:J73"/>
    <mergeCell ref="A78:A83"/>
    <mergeCell ref="C78:C83"/>
    <mergeCell ref="D78:D79"/>
    <mergeCell ref="E78:E79"/>
    <mergeCell ref="F78:F79"/>
    <mergeCell ref="G78:G79"/>
    <mergeCell ref="H78:H79"/>
    <mergeCell ref="A72:A77"/>
    <mergeCell ref="C72:C77"/>
    <mergeCell ref="D72:D73"/>
    <mergeCell ref="E72:E73"/>
    <mergeCell ref="F72:F73"/>
    <mergeCell ref="G72:G73"/>
    <mergeCell ref="I78:I79"/>
    <mergeCell ref="J78:J79"/>
    <mergeCell ref="A84:A89"/>
    <mergeCell ref="C84:C89"/>
    <mergeCell ref="A90:A93"/>
    <mergeCell ref="C90:C93"/>
    <mergeCell ref="A94:A97"/>
    <mergeCell ref="C94:C97"/>
    <mergeCell ref="A98:A101"/>
    <mergeCell ref="C98:C101"/>
    <mergeCell ref="A102:A105"/>
    <mergeCell ref="C102:C10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A1:I46"/>
  <sheetViews>
    <sheetView tabSelected="1" zoomScale="90" zoomScaleNormal="90" workbookViewId="0">
      <pane xSplit="2" ySplit="6" topLeftCell="C28" activePane="bottomRight" state="frozen"/>
      <selection pane="topRight" activeCell="C1" sqref="C1"/>
      <selection pane="bottomLeft" activeCell="A7" sqref="A7"/>
      <selection pane="bottomRight" activeCell="L48" sqref="L48"/>
    </sheetView>
  </sheetViews>
  <sheetFormatPr defaultRowHeight="15"/>
  <cols>
    <col min="1" max="1" width="3.5703125" style="97" customWidth="1"/>
    <col min="2" max="2" width="31" style="97" customWidth="1"/>
    <col min="3" max="4" width="10.140625" style="99" customWidth="1"/>
    <col min="5" max="5" width="12" style="98" customWidth="1"/>
    <col min="6" max="6" width="10.140625" style="97" customWidth="1"/>
    <col min="7" max="7" width="16.28515625" style="97" customWidth="1"/>
    <col min="8" max="8" width="16.42578125" style="97" customWidth="1"/>
    <col min="9" max="9" width="18" style="97" customWidth="1"/>
    <col min="10" max="16384" width="9.140625" style="97"/>
  </cols>
  <sheetData>
    <row r="1" spans="1:9" ht="15.75">
      <c r="A1" s="388"/>
      <c r="B1" s="388"/>
      <c r="C1" s="388"/>
      <c r="D1" s="388"/>
      <c r="E1" s="388"/>
      <c r="F1" s="388"/>
      <c r="G1" s="388"/>
      <c r="H1" s="388"/>
      <c r="I1" s="388"/>
    </row>
    <row r="2" spans="1:9">
      <c r="G2" s="389"/>
      <c r="H2" s="389"/>
      <c r="I2" s="389"/>
    </row>
    <row r="4" spans="1:9" ht="42" customHeight="1">
      <c r="A4" s="390" t="s">
        <v>288</v>
      </c>
      <c r="B4" s="390"/>
      <c r="C4" s="390"/>
      <c r="D4" s="390"/>
      <c r="E4" s="390"/>
      <c r="F4" s="390"/>
      <c r="G4" s="390"/>
      <c r="H4" s="390"/>
      <c r="I4" s="390"/>
    </row>
    <row r="5" spans="1:9" s="122" customFormat="1" ht="125.25" customHeight="1">
      <c r="A5" s="118" t="s">
        <v>0</v>
      </c>
      <c r="B5" s="118" t="s">
        <v>287</v>
      </c>
      <c r="C5" s="118" t="s">
        <v>286</v>
      </c>
      <c r="D5" s="118" t="s">
        <v>285</v>
      </c>
      <c r="E5" s="123" t="s">
        <v>284</v>
      </c>
      <c r="F5" s="118" t="s">
        <v>283</v>
      </c>
      <c r="G5" s="118" t="s">
        <v>282</v>
      </c>
      <c r="H5" s="118" t="s">
        <v>9</v>
      </c>
      <c r="I5" s="118" t="s">
        <v>281</v>
      </c>
    </row>
    <row r="6" spans="1:9">
      <c r="A6" s="120">
        <v>1</v>
      </c>
      <c r="B6" s="116">
        <v>2</v>
      </c>
      <c r="C6" s="116">
        <v>3</v>
      </c>
      <c r="D6" s="116">
        <v>4</v>
      </c>
      <c r="E6" s="121">
        <v>5</v>
      </c>
      <c r="F6" s="116">
        <v>6</v>
      </c>
      <c r="G6" s="116">
        <v>7</v>
      </c>
      <c r="H6" s="116">
        <v>8</v>
      </c>
      <c r="I6" s="116">
        <v>9</v>
      </c>
    </row>
    <row r="7" spans="1:9" ht="51">
      <c r="A7" s="120">
        <v>1</v>
      </c>
      <c r="B7" s="119" t="s">
        <v>280</v>
      </c>
      <c r="C7" s="118">
        <v>2018</v>
      </c>
      <c r="D7" s="116">
        <v>2020</v>
      </c>
      <c r="E7" s="117">
        <v>1268.7470000000001</v>
      </c>
      <c r="F7" s="116"/>
      <c r="G7" s="118" t="s">
        <v>248</v>
      </c>
      <c r="H7" s="202" t="s">
        <v>42</v>
      </c>
      <c r="I7" s="118" t="s">
        <v>608</v>
      </c>
    </row>
    <row r="8" spans="1:9" ht="51">
      <c r="A8" s="120">
        <v>2</v>
      </c>
      <c r="B8" s="119" t="s">
        <v>279</v>
      </c>
      <c r="C8" s="118">
        <v>2018</v>
      </c>
      <c r="D8" s="116">
        <v>2020</v>
      </c>
      <c r="E8" s="117">
        <v>1011.933</v>
      </c>
      <c r="F8" s="116"/>
      <c r="G8" s="118" t="s">
        <v>248</v>
      </c>
      <c r="H8" s="202" t="s">
        <v>42</v>
      </c>
      <c r="I8" s="118" t="s">
        <v>608</v>
      </c>
    </row>
    <row r="9" spans="1:9" ht="51">
      <c r="A9" s="120">
        <v>3</v>
      </c>
      <c r="B9" s="119" t="s">
        <v>278</v>
      </c>
      <c r="C9" s="118">
        <v>2018</v>
      </c>
      <c r="D9" s="116">
        <v>2020</v>
      </c>
      <c r="E9" s="117">
        <v>952.34799999999996</v>
      </c>
      <c r="F9" s="116"/>
      <c r="G9" s="118" t="s">
        <v>248</v>
      </c>
      <c r="H9" s="202" t="s">
        <v>42</v>
      </c>
      <c r="I9" s="118" t="s">
        <v>608</v>
      </c>
    </row>
    <row r="10" spans="1:9" ht="38.25">
      <c r="A10" s="120">
        <v>4</v>
      </c>
      <c r="B10" s="119" t="s">
        <v>277</v>
      </c>
      <c r="C10" s="118">
        <v>2018</v>
      </c>
      <c r="D10" s="116">
        <v>2021</v>
      </c>
      <c r="E10" s="117">
        <v>2807.74</v>
      </c>
      <c r="F10" s="116"/>
      <c r="G10" s="118" t="s">
        <v>248</v>
      </c>
      <c r="H10" s="202" t="s">
        <v>42</v>
      </c>
      <c r="I10" s="118" t="s">
        <v>609</v>
      </c>
    </row>
    <row r="11" spans="1:9" ht="38.25">
      <c r="A11" s="120">
        <v>5</v>
      </c>
      <c r="B11" s="119" t="s">
        <v>276</v>
      </c>
      <c r="C11" s="118">
        <v>2018</v>
      </c>
      <c r="D11" s="116">
        <v>2022</v>
      </c>
      <c r="E11" s="117">
        <v>644.14499999999998</v>
      </c>
      <c r="F11" s="116"/>
      <c r="G11" s="118" t="s">
        <v>248</v>
      </c>
      <c r="H11" s="202" t="s">
        <v>42</v>
      </c>
      <c r="I11" s="118" t="s">
        <v>610</v>
      </c>
    </row>
    <row r="12" spans="1:9" ht="25.5">
      <c r="A12" s="120">
        <v>6</v>
      </c>
      <c r="B12" s="119" t="s">
        <v>275</v>
      </c>
      <c r="C12" s="118">
        <v>2018</v>
      </c>
      <c r="D12" s="116">
        <v>2020</v>
      </c>
      <c r="E12" s="117">
        <v>1176.0719999999999</v>
      </c>
      <c r="F12" s="116"/>
      <c r="G12" s="116" t="s">
        <v>257</v>
      </c>
      <c r="H12" s="202" t="s">
        <v>42</v>
      </c>
      <c r="I12" s="118" t="s">
        <v>608</v>
      </c>
    </row>
    <row r="13" spans="1:9" ht="63.75">
      <c r="A13" s="120">
        <v>7</v>
      </c>
      <c r="B13" s="119" t="s">
        <v>274</v>
      </c>
      <c r="C13" s="116">
        <v>2018</v>
      </c>
      <c r="D13" s="116">
        <v>2020</v>
      </c>
      <c r="E13" s="117">
        <v>1068.1780000000001</v>
      </c>
      <c r="F13" s="116"/>
      <c r="G13" s="116" t="s">
        <v>257</v>
      </c>
      <c r="H13" s="202" t="s">
        <v>272</v>
      </c>
      <c r="I13" s="118" t="s">
        <v>608</v>
      </c>
    </row>
    <row r="14" spans="1:9" ht="63.75">
      <c r="A14" s="120">
        <v>8</v>
      </c>
      <c r="B14" s="119" t="s">
        <v>273</v>
      </c>
      <c r="C14" s="118">
        <v>2015</v>
      </c>
      <c r="D14" s="116">
        <v>2022</v>
      </c>
      <c r="E14" s="117">
        <v>11805.71</v>
      </c>
      <c r="F14" s="116"/>
      <c r="G14" s="116" t="s">
        <v>257</v>
      </c>
      <c r="H14" s="202" t="s">
        <v>435</v>
      </c>
      <c r="I14" s="118" t="s">
        <v>610</v>
      </c>
    </row>
    <row r="15" spans="1:9" ht="38.25">
      <c r="A15" s="120">
        <v>9</v>
      </c>
      <c r="B15" s="119" t="s">
        <v>271</v>
      </c>
      <c r="C15" s="118">
        <v>2015</v>
      </c>
      <c r="D15" s="116">
        <v>2025</v>
      </c>
      <c r="E15" s="117" t="s">
        <v>270</v>
      </c>
      <c r="F15" s="116"/>
      <c r="G15" s="116" t="s">
        <v>257</v>
      </c>
      <c r="H15" s="202" t="s">
        <v>42</v>
      </c>
      <c r="I15" s="118" t="s">
        <v>611</v>
      </c>
    </row>
    <row r="16" spans="1:9" ht="38.25">
      <c r="A16" s="120">
        <v>10</v>
      </c>
      <c r="B16" s="119" t="s">
        <v>439</v>
      </c>
      <c r="C16" s="118">
        <v>2013</v>
      </c>
      <c r="D16" s="116">
        <v>2024</v>
      </c>
      <c r="E16" s="117" t="s">
        <v>269</v>
      </c>
      <c r="F16" s="116"/>
      <c r="G16" s="116" t="s">
        <v>257</v>
      </c>
      <c r="H16" s="202" t="s">
        <v>42</v>
      </c>
      <c r="I16" s="118" t="s">
        <v>612</v>
      </c>
    </row>
    <row r="17" spans="1:9" ht="25.5">
      <c r="A17" s="120">
        <v>11</v>
      </c>
      <c r="B17" s="119" t="s">
        <v>268</v>
      </c>
      <c r="C17" s="118">
        <v>2015</v>
      </c>
      <c r="D17" s="116">
        <v>2026</v>
      </c>
      <c r="E17" s="117" t="s">
        <v>267</v>
      </c>
      <c r="F17" s="116"/>
      <c r="G17" s="118" t="s">
        <v>248</v>
      </c>
      <c r="H17" s="202" t="s">
        <v>42</v>
      </c>
      <c r="I17" s="118" t="s">
        <v>613</v>
      </c>
    </row>
    <row r="18" spans="1:9" ht="25.5">
      <c r="A18" s="120">
        <v>12</v>
      </c>
      <c r="B18" s="119" t="s">
        <v>266</v>
      </c>
      <c r="C18" s="118">
        <v>2016</v>
      </c>
      <c r="D18" s="116">
        <v>2027</v>
      </c>
      <c r="E18" s="117" t="s">
        <v>265</v>
      </c>
      <c r="F18" s="116"/>
      <c r="G18" s="118" t="s">
        <v>257</v>
      </c>
      <c r="H18" s="202" t="s">
        <v>42</v>
      </c>
      <c r="I18" s="118" t="s">
        <v>614</v>
      </c>
    </row>
    <row r="19" spans="1:9" ht="25.5">
      <c r="A19" s="120">
        <v>13</v>
      </c>
      <c r="B19" s="119" t="s">
        <v>264</v>
      </c>
      <c r="C19" s="118">
        <v>2014</v>
      </c>
      <c r="D19" s="116">
        <v>2020</v>
      </c>
      <c r="E19" s="117" t="s">
        <v>263</v>
      </c>
      <c r="F19" s="116"/>
      <c r="G19" s="118" t="s">
        <v>248</v>
      </c>
      <c r="H19" s="202" t="s">
        <v>42</v>
      </c>
      <c r="I19" s="118" t="s">
        <v>608</v>
      </c>
    </row>
    <row r="20" spans="1:9" ht="25.5">
      <c r="A20" s="120">
        <v>14</v>
      </c>
      <c r="B20" s="119" t="s">
        <v>262</v>
      </c>
      <c r="C20" s="118">
        <v>2014</v>
      </c>
      <c r="D20" s="116">
        <v>2022</v>
      </c>
      <c r="E20" s="117" t="s">
        <v>261</v>
      </c>
      <c r="F20" s="116"/>
      <c r="G20" s="118" t="s">
        <v>248</v>
      </c>
      <c r="H20" s="202" t="s">
        <v>42</v>
      </c>
      <c r="I20" s="118" t="s">
        <v>615</v>
      </c>
    </row>
    <row r="21" spans="1:9" ht="25.5">
      <c r="A21" s="120">
        <v>15</v>
      </c>
      <c r="B21" s="119" t="s">
        <v>260</v>
      </c>
      <c r="C21" s="118">
        <v>2016</v>
      </c>
      <c r="D21" s="116">
        <v>2027</v>
      </c>
      <c r="E21" s="117" t="s">
        <v>259</v>
      </c>
      <c r="F21" s="116"/>
      <c r="G21" s="118" t="s">
        <v>257</v>
      </c>
      <c r="H21" s="202" t="s">
        <v>436</v>
      </c>
      <c r="I21" s="118" t="s">
        <v>614</v>
      </c>
    </row>
    <row r="22" spans="1:9" ht="63.75">
      <c r="A22" s="120">
        <v>16</v>
      </c>
      <c r="B22" s="119" t="s">
        <v>258</v>
      </c>
      <c r="C22" s="118">
        <v>2018</v>
      </c>
      <c r="D22" s="118">
        <v>2026</v>
      </c>
      <c r="E22" s="117">
        <v>678097.2</v>
      </c>
      <c r="F22" s="116"/>
      <c r="G22" s="118" t="s">
        <v>257</v>
      </c>
      <c r="H22" s="202" t="s">
        <v>436</v>
      </c>
      <c r="I22" s="118" t="s">
        <v>614</v>
      </c>
    </row>
    <row r="23" spans="1:9" ht="38.25">
      <c r="A23" s="120">
        <v>17</v>
      </c>
      <c r="B23" s="119" t="s">
        <v>256</v>
      </c>
      <c r="C23" s="118">
        <v>2018</v>
      </c>
      <c r="D23" s="118">
        <v>2023</v>
      </c>
      <c r="E23" s="117">
        <v>120000</v>
      </c>
      <c r="F23" s="116"/>
      <c r="G23" s="118" t="s">
        <v>248</v>
      </c>
      <c r="H23" s="202" t="s">
        <v>437</v>
      </c>
      <c r="I23" s="118" t="s">
        <v>616</v>
      </c>
    </row>
    <row r="24" spans="1:9" ht="38.25">
      <c r="A24" s="120">
        <v>18</v>
      </c>
      <c r="B24" s="119" t="s">
        <v>255</v>
      </c>
      <c r="C24" s="118">
        <v>2018</v>
      </c>
      <c r="D24" s="118">
        <v>2027</v>
      </c>
      <c r="E24" s="117">
        <v>237550</v>
      </c>
      <c r="F24" s="116"/>
      <c r="G24" s="118" t="s">
        <v>248</v>
      </c>
      <c r="H24" s="202" t="s">
        <v>436</v>
      </c>
      <c r="I24" s="118" t="s">
        <v>617</v>
      </c>
    </row>
    <row r="25" spans="1:9" ht="38.25">
      <c r="A25" s="120">
        <v>19</v>
      </c>
      <c r="B25" s="119" t="s">
        <v>254</v>
      </c>
      <c r="C25" s="118">
        <v>2018</v>
      </c>
      <c r="D25" s="118">
        <v>2025</v>
      </c>
      <c r="E25" s="117">
        <v>11777.874</v>
      </c>
      <c r="F25" s="116"/>
      <c r="G25" s="118" t="s">
        <v>248</v>
      </c>
      <c r="H25" s="202" t="s">
        <v>436</v>
      </c>
      <c r="I25" s="118" t="s">
        <v>618</v>
      </c>
    </row>
    <row r="26" spans="1:9" ht="39" thickBot="1">
      <c r="A26" s="120">
        <v>20</v>
      </c>
      <c r="B26" s="119" t="s">
        <v>253</v>
      </c>
      <c r="C26" s="118">
        <v>2018</v>
      </c>
      <c r="D26" s="118">
        <v>2026</v>
      </c>
      <c r="E26" s="117">
        <v>23957.2258</v>
      </c>
      <c r="F26" s="116"/>
      <c r="G26" s="118" t="s">
        <v>248</v>
      </c>
      <c r="H26" s="202" t="s">
        <v>436</v>
      </c>
      <c r="I26" s="336" t="s">
        <v>619</v>
      </c>
    </row>
    <row r="27" spans="1:9" ht="38.25">
      <c r="A27" s="120">
        <v>21</v>
      </c>
      <c r="B27" s="119" t="s">
        <v>252</v>
      </c>
      <c r="C27" s="118">
        <v>2018</v>
      </c>
      <c r="D27" s="118">
        <v>2027</v>
      </c>
      <c r="E27" s="117">
        <v>16637.112000000001</v>
      </c>
      <c r="F27" s="116"/>
      <c r="G27" s="118" t="s">
        <v>248</v>
      </c>
      <c r="H27" s="202" t="s">
        <v>436</v>
      </c>
      <c r="I27" s="118" t="s">
        <v>620</v>
      </c>
    </row>
    <row r="28" spans="1:9" ht="38.25">
      <c r="A28" s="120">
        <v>22</v>
      </c>
      <c r="B28" s="119" t="s">
        <v>251</v>
      </c>
      <c r="C28" s="118">
        <v>2018</v>
      </c>
      <c r="D28" s="118">
        <v>2028</v>
      </c>
      <c r="E28" s="117">
        <v>19550.59</v>
      </c>
      <c r="F28" s="116"/>
      <c r="G28" s="118" t="s">
        <v>248</v>
      </c>
      <c r="H28" s="202" t="s">
        <v>388</v>
      </c>
      <c r="I28" s="118" t="s">
        <v>621</v>
      </c>
    </row>
    <row r="29" spans="1:9" ht="38.25">
      <c r="A29" s="120">
        <v>23</v>
      </c>
      <c r="B29" s="119" t="s">
        <v>250</v>
      </c>
      <c r="C29" s="118">
        <v>2018</v>
      </c>
      <c r="D29" s="118">
        <v>2021</v>
      </c>
      <c r="E29" s="117">
        <v>10810.357</v>
      </c>
      <c r="F29" s="116"/>
      <c r="G29" s="118" t="s">
        <v>248</v>
      </c>
      <c r="H29" s="202" t="s">
        <v>388</v>
      </c>
      <c r="I29" s="118" t="s">
        <v>622</v>
      </c>
    </row>
    <row r="30" spans="1:9" ht="38.25">
      <c r="A30" s="120">
        <v>24</v>
      </c>
      <c r="B30" s="119" t="s">
        <v>249</v>
      </c>
      <c r="C30" s="118">
        <v>2018</v>
      </c>
      <c r="D30" s="118">
        <v>2027</v>
      </c>
      <c r="E30" s="117">
        <v>6973.2969999999996</v>
      </c>
      <c r="F30" s="116"/>
      <c r="G30" s="118" t="s">
        <v>248</v>
      </c>
      <c r="H30" s="202" t="s">
        <v>388</v>
      </c>
      <c r="I30" s="118" t="s">
        <v>620</v>
      </c>
    </row>
    <row r="31" spans="1:9" s="114" customFormat="1" ht="12.75" customHeight="1">
      <c r="A31" s="391" t="s">
        <v>3</v>
      </c>
      <c r="B31" s="391"/>
      <c r="C31" s="115" t="s">
        <v>247</v>
      </c>
      <c r="D31" s="115"/>
      <c r="E31" s="117">
        <f>SUM(E7:E30)</f>
        <v>1146088.5288</v>
      </c>
      <c r="F31" s="116"/>
      <c r="G31" s="115" t="s">
        <v>247</v>
      </c>
      <c r="H31" s="115" t="s">
        <v>247</v>
      </c>
      <c r="I31" s="115" t="s">
        <v>247</v>
      </c>
    </row>
    <row r="32" spans="1:9">
      <c r="A32" s="100"/>
      <c r="B32" s="100"/>
      <c r="C32" s="102"/>
      <c r="D32" s="102"/>
      <c r="E32" s="101"/>
      <c r="F32" s="100"/>
      <c r="G32" s="100"/>
      <c r="H32" s="100"/>
      <c r="I32" s="100"/>
    </row>
    <row r="33" spans="1:9">
      <c r="A33" s="111" t="s">
        <v>658</v>
      </c>
      <c r="B33" s="100"/>
      <c r="C33" s="102"/>
      <c r="D33" s="102"/>
      <c r="E33" s="101"/>
      <c r="F33" s="100"/>
      <c r="G33" s="100"/>
      <c r="H33" s="100"/>
      <c r="I33" s="100"/>
    </row>
    <row r="34" spans="1:9" s="103" customFormat="1" ht="14.25">
      <c r="A34" s="111" t="s">
        <v>659</v>
      </c>
      <c r="B34" s="111"/>
      <c r="C34" s="102"/>
      <c r="D34" s="102"/>
      <c r="E34" s="101"/>
      <c r="F34" s="102" t="s">
        <v>245</v>
      </c>
      <c r="G34" s="102"/>
      <c r="H34" s="449" t="s">
        <v>371</v>
      </c>
      <c r="I34" s="450"/>
    </row>
    <row r="35" spans="1:9" s="106" customFormat="1">
      <c r="A35" s="109" t="s">
        <v>243</v>
      </c>
      <c r="B35" s="109"/>
      <c r="C35" s="108"/>
      <c r="D35" s="108"/>
      <c r="E35" s="107"/>
      <c r="F35" s="102" t="s">
        <v>200</v>
      </c>
      <c r="G35" s="102"/>
      <c r="H35" s="386" t="s">
        <v>201</v>
      </c>
      <c r="I35" s="386"/>
    </row>
    <row r="36" spans="1:9" s="103" customFormat="1" ht="12.75">
      <c r="A36" s="105"/>
      <c r="B36" s="105"/>
      <c r="C36" s="102"/>
      <c r="D36" s="102"/>
      <c r="E36" s="101"/>
      <c r="F36" s="100"/>
      <c r="G36" s="100"/>
      <c r="H36" s="100"/>
      <c r="I36" s="100"/>
    </row>
    <row r="37" spans="1:9" s="103" customFormat="1" ht="12.75">
      <c r="A37" s="387" t="s">
        <v>242</v>
      </c>
      <c r="B37" s="387"/>
      <c r="C37" s="387"/>
      <c r="D37" s="387"/>
      <c r="E37" s="387"/>
      <c r="F37" s="112" t="s">
        <v>203</v>
      </c>
      <c r="G37" s="104"/>
      <c r="H37" s="100"/>
      <c r="I37" s="100"/>
    </row>
    <row r="38" spans="1:9" s="103" customFormat="1" ht="12.75">
      <c r="A38" s="113"/>
      <c r="B38" s="113"/>
      <c r="C38" s="102"/>
      <c r="D38" s="102"/>
      <c r="E38" s="101"/>
      <c r="F38" s="100"/>
      <c r="G38" s="100"/>
      <c r="H38" s="100"/>
      <c r="I38" s="100"/>
    </row>
    <row r="39" spans="1:9" s="103" customFormat="1" ht="12.75">
      <c r="A39" s="100"/>
      <c r="B39" s="100"/>
      <c r="C39" s="102"/>
      <c r="D39" s="102"/>
      <c r="E39" s="101"/>
      <c r="F39" s="112"/>
      <c r="G39" s="100"/>
      <c r="H39" s="100"/>
      <c r="I39" s="100"/>
    </row>
    <row r="40" spans="1:9">
      <c r="A40" s="100"/>
      <c r="B40" s="100"/>
      <c r="C40" s="102"/>
      <c r="D40" s="102"/>
      <c r="E40" s="101"/>
      <c r="F40" s="100"/>
      <c r="G40" s="100"/>
      <c r="H40" s="100"/>
      <c r="I40" s="100"/>
    </row>
    <row r="41" spans="1:9">
      <c r="A41" s="100"/>
      <c r="B41" s="100"/>
      <c r="C41" s="102"/>
      <c r="D41" s="102"/>
      <c r="E41" s="101"/>
      <c r="F41" s="100"/>
      <c r="G41" s="100"/>
      <c r="H41" s="100"/>
      <c r="I41" s="100"/>
    </row>
    <row r="42" spans="1:9" s="103" customFormat="1" ht="14.25">
      <c r="A42" s="111" t="s">
        <v>246</v>
      </c>
      <c r="B42" s="111"/>
      <c r="C42" s="102"/>
      <c r="D42" s="102"/>
      <c r="E42" s="101"/>
      <c r="F42" s="102" t="s">
        <v>245</v>
      </c>
      <c r="G42" s="102"/>
      <c r="H42" s="449" t="s">
        <v>661</v>
      </c>
      <c r="I42" s="110" t="s">
        <v>244</v>
      </c>
    </row>
    <row r="43" spans="1:9" s="106" customFormat="1">
      <c r="A43" s="109" t="s">
        <v>243</v>
      </c>
      <c r="B43" s="109"/>
      <c r="C43" s="108"/>
      <c r="D43" s="108"/>
      <c r="E43" s="107"/>
      <c r="F43" s="102" t="s">
        <v>200</v>
      </c>
      <c r="G43" s="102"/>
      <c r="H43" s="386" t="s">
        <v>201</v>
      </c>
      <c r="I43" s="386"/>
    </row>
    <row r="44" spans="1:9" s="103" customFormat="1" ht="12.75">
      <c r="A44" s="105"/>
      <c r="B44" s="105"/>
      <c r="C44" s="102"/>
      <c r="D44" s="102"/>
      <c r="E44" s="101"/>
      <c r="F44" s="100"/>
      <c r="G44" s="100"/>
      <c r="H44" s="100"/>
      <c r="I44" s="100"/>
    </row>
    <row r="45" spans="1:9" s="103" customFormat="1" ht="13.5" customHeight="1">
      <c r="A45" s="387" t="s">
        <v>242</v>
      </c>
      <c r="B45" s="387"/>
      <c r="C45" s="387"/>
      <c r="D45" s="387"/>
      <c r="E45" s="387"/>
      <c r="F45" s="104"/>
      <c r="G45" s="104"/>
      <c r="H45" s="100"/>
      <c r="I45" s="100"/>
    </row>
    <row r="46" spans="1:9">
      <c r="A46" s="100"/>
      <c r="B46" s="100"/>
      <c r="C46" s="102"/>
      <c r="D46" s="102"/>
      <c r="E46" s="101"/>
      <c r="F46" s="100"/>
      <c r="G46" s="100"/>
      <c r="H46" s="100"/>
      <c r="I46" s="100"/>
    </row>
  </sheetData>
  <mergeCells count="8">
    <mergeCell ref="H43:I43"/>
    <mergeCell ref="A45:E45"/>
    <mergeCell ref="A1:I1"/>
    <mergeCell ref="G2:I2"/>
    <mergeCell ref="A4:I4"/>
    <mergeCell ref="A31:B31"/>
    <mergeCell ref="H35:I35"/>
    <mergeCell ref="A37:E37"/>
  </mergeCells>
  <pageMargins left="0.35433070866141736" right="0.31496062992125984" top="0.78740157480314965" bottom="0.98425196850393704" header="0.31496062992125984" footer="0.51181102362204722"/>
  <pageSetup paperSize="9" scale="7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
    <tabColor rgb="FFFF0000"/>
    <pageSetUpPr fitToPage="1"/>
  </sheetPr>
  <dimension ref="A1:H40"/>
  <sheetViews>
    <sheetView view="pageBreakPreview" zoomScale="60" zoomScaleNormal="60" workbookViewId="0">
      <selection activeCell="B36" sqref="B36"/>
    </sheetView>
  </sheetViews>
  <sheetFormatPr defaultRowHeight="15"/>
  <cols>
    <col min="1" max="1" width="9.140625" style="89"/>
    <col min="2" max="2" width="37.7109375" style="89" customWidth="1"/>
    <col min="3" max="3" width="14" style="89" customWidth="1"/>
    <col min="4" max="4" width="14.28515625" style="89" customWidth="1"/>
    <col min="5" max="5" width="14.7109375" style="89" customWidth="1"/>
    <col min="6" max="6" width="13" style="89" customWidth="1"/>
    <col min="7" max="7" width="13.5703125" style="89" customWidth="1"/>
    <col min="8" max="8" width="15.42578125" style="89" customWidth="1"/>
    <col min="9" max="16384" width="9.140625" style="89"/>
  </cols>
  <sheetData>
    <row r="1" spans="1:8" ht="15.75">
      <c r="B1" s="392"/>
      <c r="C1" s="392"/>
      <c r="D1" s="392"/>
      <c r="E1" s="392"/>
      <c r="F1" s="392"/>
      <c r="G1" s="392"/>
    </row>
    <row r="2" spans="1:8" ht="15.75" thickBot="1">
      <c r="F2" s="393" t="s">
        <v>241</v>
      </c>
      <c r="G2" s="393"/>
    </row>
    <row r="3" spans="1:8" ht="24" customHeight="1" thickBot="1">
      <c r="A3" s="394" t="s">
        <v>443</v>
      </c>
      <c r="B3" s="395"/>
      <c r="C3" s="395"/>
      <c r="D3" s="395"/>
      <c r="E3" s="395"/>
      <c r="F3" s="395"/>
      <c r="G3" s="396"/>
      <c r="H3" s="204"/>
    </row>
    <row r="4" spans="1:8" ht="40.5" customHeight="1">
      <c r="A4" s="242" t="s">
        <v>429</v>
      </c>
      <c r="B4" s="243" t="s">
        <v>430</v>
      </c>
      <c r="C4" s="243">
        <v>2020</v>
      </c>
      <c r="D4" s="244">
        <v>2021</v>
      </c>
      <c r="E4" s="245">
        <v>2022</v>
      </c>
      <c r="F4" s="245">
        <v>2023</v>
      </c>
      <c r="G4" s="245">
        <v>2024</v>
      </c>
      <c r="H4" s="246" t="s">
        <v>298</v>
      </c>
    </row>
    <row r="5" spans="1:8" ht="15.75">
      <c r="A5" s="247"/>
      <c r="B5" s="184" t="s">
        <v>431</v>
      </c>
      <c r="C5" s="177">
        <v>39592</v>
      </c>
      <c r="D5" s="177">
        <v>40651</v>
      </c>
      <c r="E5" s="177">
        <v>44695</v>
      </c>
      <c r="F5" s="177">
        <v>48942</v>
      </c>
      <c r="G5" s="177">
        <v>53648</v>
      </c>
      <c r="H5" s="248">
        <f>SUM(C5:G5)</f>
        <v>227528</v>
      </c>
    </row>
    <row r="6" spans="1:8" s="140" customFormat="1" ht="15.75">
      <c r="A6" s="249">
        <v>1</v>
      </c>
      <c r="B6" s="185" t="s">
        <v>382</v>
      </c>
      <c r="C6" s="178">
        <v>36947</v>
      </c>
      <c r="D6" s="178">
        <v>40651</v>
      </c>
      <c r="E6" s="178">
        <v>44695</v>
      </c>
      <c r="F6" s="178">
        <v>48942</v>
      </c>
      <c r="G6" s="178">
        <v>53648</v>
      </c>
      <c r="H6" s="248">
        <f t="shared" ref="H6:H15" si="0">SUM(C6:G6)</f>
        <v>224883</v>
      </c>
    </row>
    <row r="7" spans="1:8" s="141" customFormat="1" ht="15.75">
      <c r="A7" s="250" t="s">
        <v>383</v>
      </c>
      <c r="B7" s="186" t="s">
        <v>384</v>
      </c>
      <c r="C7" s="179">
        <v>26758</v>
      </c>
      <c r="D7" s="179">
        <v>29434</v>
      </c>
      <c r="E7" s="179">
        <v>32289</v>
      </c>
      <c r="F7" s="179">
        <v>35421</v>
      </c>
      <c r="G7" s="179">
        <v>38857</v>
      </c>
      <c r="H7" s="248">
        <f t="shared" si="0"/>
        <v>162759</v>
      </c>
    </row>
    <row r="8" spans="1:8" s="141" customFormat="1" ht="15.75">
      <c r="A8" s="250" t="s">
        <v>385</v>
      </c>
      <c r="B8" s="186" t="s">
        <v>386</v>
      </c>
      <c r="C8" s="178"/>
      <c r="D8" s="178"/>
      <c r="E8" s="178"/>
      <c r="F8" s="178"/>
      <c r="G8" s="178"/>
      <c r="H8" s="248">
        <f t="shared" si="0"/>
        <v>0</v>
      </c>
    </row>
    <row r="9" spans="1:8" s="141" customFormat="1" ht="15.75">
      <c r="A9" s="250" t="s">
        <v>387</v>
      </c>
      <c r="B9" s="186" t="s">
        <v>388</v>
      </c>
      <c r="C9" s="179">
        <v>7680</v>
      </c>
      <c r="D9" s="179">
        <v>8448</v>
      </c>
      <c r="E9" s="179">
        <v>9267</v>
      </c>
      <c r="F9" s="179">
        <v>10166</v>
      </c>
      <c r="G9" s="179">
        <v>11152</v>
      </c>
      <c r="H9" s="248">
        <f t="shared" si="0"/>
        <v>46713</v>
      </c>
    </row>
    <row r="10" spans="1:8" s="140" customFormat="1" ht="15.75">
      <c r="A10" s="250" t="s">
        <v>389</v>
      </c>
      <c r="B10" s="186" t="s">
        <v>49</v>
      </c>
      <c r="C10" s="178">
        <v>2387</v>
      </c>
      <c r="D10" s="178">
        <v>2626</v>
      </c>
      <c r="E10" s="179">
        <v>2881</v>
      </c>
      <c r="F10" s="179">
        <v>3160</v>
      </c>
      <c r="G10" s="179">
        <v>3467</v>
      </c>
      <c r="H10" s="248">
        <f t="shared" si="0"/>
        <v>14521</v>
      </c>
    </row>
    <row r="11" spans="1:8" s="140" customFormat="1" ht="15.75">
      <c r="A11" s="250" t="s">
        <v>390</v>
      </c>
      <c r="B11" s="186" t="s">
        <v>432</v>
      </c>
      <c r="C11" s="178">
        <v>122</v>
      </c>
      <c r="D11" s="178">
        <v>143</v>
      </c>
      <c r="E11" s="178">
        <v>258</v>
      </c>
      <c r="F11" s="178">
        <v>195</v>
      </c>
      <c r="G11" s="178">
        <v>172</v>
      </c>
      <c r="H11" s="248">
        <f t="shared" si="0"/>
        <v>890</v>
      </c>
    </row>
    <row r="12" spans="1:8" s="140" customFormat="1" ht="15.75">
      <c r="A12" s="249">
        <v>2</v>
      </c>
      <c r="B12" s="185" t="s">
        <v>391</v>
      </c>
      <c r="C12" s="178">
        <v>2645</v>
      </c>
      <c r="D12" s="178">
        <v>0</v>
      </c>
      <c r="E12" s="178">
        <v>0</v>
      </c>
      <c r="F12" s="178">
        <v>0</v>
      </c>
      <c r="G12" s="178">
        <v>0</v>
      </c>
      <c r="H12" s="248">
        <f t="shared" si="0"/>
        <v>2645</v>
      </c>
    </row>
    <row r="13" spans="1:8" s="140" customFormat="1" ht="15.75">
      <c r="A13" s="250" t="s">
        <v>392</v>
      </c>
      <c r="B13" s="186" t="s">
        <v>393</v>
      </c>
      <c r="C13" s="178"/>
      <c r="D13" s="178"/>
      <c r="E13" s="178"/>
      <c r="F13" s="178"/>
      <c r="G13" s="178"/>
      <c r="H13" s="248">
        <f t="shared" si="0"/>
        <v>0</v>
      </c>
    </row>
    <row r="14" spans="1:8" s="140" customFormat="1" ht="15.75">
      <c r="A14" s="250" t="s">
        <v>394</v>
      </c>
      <c r="B14" s="186" t="s">
        <v>395</v>
      </c>
      <c r="C14" s="178"/>
      <c r="D14" s="178"/>
      <c r="E14" s="178"/>
      <c r="F14" s="178"/>
      <c r="G14" s="178"/>
      <c r="H14" s="248">
        <f t="shared" si="0"/>
        <v>0</v>
      </c>
    </row>
    <row r="15" spans="1:8" s="140" customFormat="1" ht="31.5">
      <c r="A15" s="250" t="s">
        <v>396</v>
      </c>
      <c r="B15" s="186" t="s">
        <v>433</v>
      </c>
      <c r="C15" s="179">
        <v>2645</v>
      </c>
      <c r="D15" s="179"/>
      <c r="E15" s="179"/>
      <c r="F15" s="179"/>
      <c r="G15" s="179"/>
      <c r="H15" s="248">
        <f t="shared" si="0"/>
        <v>2645</v>
      </c>
    </row>
    <row r="16" spans="1:8" s="140" customFormat="1" ht="16.5" thickBot="1">
      <c r="A16" s="251"/>
      <c r="B16" s="252"/>
      <c r="C16" s="253"/>
      <c r="D16" s="253"/>
      <c r="E16" s="253"/>
      <c r="F16" s="253"/>
      <c r="G16" s="253"/>
      <c r="H16" s="254"/>
    </row>
    <row r="17" spans="1:8" s="140" customFormat="1" ht="15.75">
      <c r="A17" s="238"/>
      <c r="B17" s="239"/>
      <c r="C17" s="240"/>
      <c r="D17" s="240"/>
      <c r="E17" s="240"/>
      <c r="F17" s="240"/>
      <c r="G17" s="240"/>
      <c r="H17" s="241"/>
    </row>
    <row r="18" spans="1:8" s="140" customFormat="1" ht="15.75">
      <c r="A18" s="238"/>
      <c r="B18" s="239"/>
      <c r="C18" s="240"/>
      <c r="D18" s="240"/>
      <c r="E18" s="240"/>
      <c r="F18" s="240"/>
      <c r="G18" s="240"/>
      <c r="H18" s="241"/>
    </row>
    <row r="19" spans="1:8" ht="15.75">
      <c r="A19" s="204"/>
      <c r="B19" s="203"/>
      <c r="C19" s="203"/>
      <c r="D19" s="203"/>
      <c r="E19" s="203"/>
      <c r="F19" s="203"/>
      <c r="G19" s="203"/>
      <c r="H19" s="204"/>
    </row>
    <row r="20" spans="1:8" ht="70.5" customHeight="1" thickBot="1">
      <c r="A20" s="400" t="s">
        <v>442</v>
      </c>
      <c r="B20" s="400"/>
      <c r="C20" s="400"/>
      <c r="D20" s="400"/>
      <c r="E20" s="400"/>
      <c r="F20" s="400"/>
      <c r="G20" s="400"/>
      <c r="H20" s="400"/>
    </row>
    <row r="21" spans="1:8" ht="16.5" thickBot="1">
      <c r="A21" s="397" t="s">
        <v>444</v>
      </c>
      <c r="B21" s="398"/>
      <c r="C21" s="398"/>
      <c r="D21" s="398"/>
      <c r="E21" s="398"/>
      <c r="F21" s="398"/>
      <c r="G21" s="399"/>
    </row>
    <row r="22" spans="1:8" ht="16.5" thickBot="1">
      <c r="A22" s="233" t="s">
        <v>429</v>
      </c>
      <c r="B22" s="234" t="s">
        <v>430</v>
      </c>
      <c r="C22" s="235">
        <v>2020</v>
      </c>
      <c r="D22" s="235">
        <v>2021</v>
      </c>
      <c r="E22" s="235">
        <v>2022</v>
      </c>
      <c r="F22" s="235">
        <v>2023</v>
      </c>
      <c r="G22" s="235">
        <v>2024</v>
      </c>
      <c r="H22" s="255" t="s">
        <v>298</v>
      </c>
    </row>
    <row r="23" spans="1:8" ht="16.5" thickBot="1">
      <c r="A23" s="233"/>
      <c r="B23" s="236" t="s">
        <v>431</v>
      </c>
      <c r="C23" s="237">
        <v>272882</v>
      </c>
      <c r="D23" s="237">
        <v>312227</v>
      </c>
      <c r="E23" s="237">
        <v>382193</v>
      </c>
      <c r="F23" s="237">
        <v>423772</v>
      </c>
      <c r="G23" s="237">
        <v>580409</v>
      </c>
      <c r="H23" s="256">
        <f>SUM(C23:G23)</f>
        <v>1971483</v>
      </c>
    </row>
    <row r="24" spans="1:8" ht="16.5" thickBot="1">
      <c r="A24" s="233">
        <v>1</v>
      </c>
      <c r="B24" s="234" t="s">
        <v>382</v>
      </c>
      <c r="C24" s="235">
        <v>270237</v>
      </c>
      <c r="D24" s="235">
        <v>312227</v>
      </c>
      <c r="E24" s="235">
        <v>382193</v>
      </c>
      <c r="F24" s="235">
        <v>423772</v>
      </c>
      <c r="G24" s="235">
        <v>580409</v>
      </c>
      <c r="H24" s="256">
        <f t="shared" ref="H24:H33" si="1">SUM(C24:G24)</f>
        <v>1968838</v>
      </c>
    </row>
    <row r="25" spans="1:8" ht="16.5" thickBot="1">
      <c r="A25" s="233">
        <v>1.1000000000000001</v>
      </c>
      <c r="B25" s="234" t="s">
        <v>384</v>
      </c>
      <c r="C25" s="235">
        <v>132762</v>
      </c>
      <c r="D25" s="235">
        <v>132762</v>
      </c>
      <c r="E25" s="235">
        <v>132762</v>
      </c>
      <c r="F25" s="235">
        <v>132762</v>
      </c>
      <c r="G25" s="235">
        <v>132762</v>
      </c>
      <c r="H25" s="256">
        <f t="shared" si="1"/>
        <v>663810</v>
      </c>
    </row>
    <row r="26" spans="1:8" ht="16.5" thickBot="1">
      <c r="A26" s="233">
        <v>1.2</v>
      </c>
      <c r="B26" s="234" t="s">
        <v>386</v>
      </c>
      <c r="C26" s="234"/>
      <c r="D26" s="234"/>
      <c r="E26" s="234"/>
      <c r="F26" s="234"/>
      <c r="G26" s="234"/>
      <c r="H26" s="256">
        <f t="shared" si="1"/>
        <v>0</v>
      </c>
    </row>
    <row r="27" spans="1:8" ht="16.5" thickBot="1">
      <c r="A27" s="233">
        <v>1.3</v>
      </c>
      <c r="B27" s="234" t="s">
        <v>388</v>
      </c>
      <c r="C27" s="235">
        <v>7680</v>
      </c>
      <c r="D27" s="235">
        <v>8448</v>
      </c>
      <c r="E27" s="235">
        <v>9267</v>
      </c>
      <c r="F27" s="235">
        <v>10166</v>
      </c>
      <c r="G27" s="235">
        <v>11152</v>
      </c>
      <c r="H27" s="256">
        <f t="shared" si="1"/>
        <v>46713</v>
      </c>
    </row>
    <row r="28" spans="1:8" ht="16.5" thickBot="1">
      <c r="A28" s="233">
        <v>1.4</v>
      </c>
      <c r="B28" s="234" t="s">
        <v>49</v>
      </c>
      <c r="C28" s="235">
        <v>129673</v>
      </c>
      <c r="D28" s="235">
        <v>170874</v>
      </c>
      <c r="E28" s="235">
        <v>239906</v>
      </c>
      <c r="F28" s="235">
        <v>280649</v>
      </c>
      <c r="G28" s="235">
        <v>436323</v>
      </c>
      <c r="H28" s="256">
        <f t="shared" si="1"/>
        <v>1257425</v>
      </c>
    </row>
    <row r="29" spans="1:8" ht="16.5" thickBot="1">
      <c r="A29" s="233">
        <v>1.5</v>
      </c>
      <c r="B29" s="234" t="s">
        <v>432</v>
      </c>
      <c r="C29" s="235">
        <v>122</v>
      </c>
      <c r="D29" s="235">
        <v>143</v>
      </c>
      <c r="E29" s="235">
        <v>258</v>
      </c>
      <c r="F29" s="235">
        <v>195</v>
      </c>
      <c r="G29" s="235">
        <v>172</v>
      </c>
      <c r="H29" s="256">
        <f t="shared" si="1"/>
        <v>890</v>
      </c>
    </row>
    <row r="30" spans="1:8" ht="16.5" thickBot="1">
      <c r="A30" s="233">
        <v>2</v>
      </c>
      <c r="B30" s="234" t="s">
        <v>391</v>
      </c>
      <c r="C30" s="235">
        <v>2645</v>
      </c>
      <c r="D30" s="235">
        <v>0</v>
      </c>
      <c r="E30" s="235">
        <v>0</v>
      </c>
      <c r="F30" s="235">
        <v>0</v>
      </c>
      <c r="G30" s="235">
        <v>0</v>
      </c>
      <c r="H30" s="256">
        <f t="shared" si="1"/>
        <v>2645</v>
      </c>
    </row>
    <row r="31" spans="1:8" ht="16.5" thickBot="1">
      <c r="A31" s="233">
        <v>2.1</v>
      </c>
      <c r="B31" s="234" t="s">
        <v>393</v>
      </c>
      <c r="C31" s="234"/>
      <c r="D31" s="234"/>
      <c r="E31" s="234"/>
      <c r="F31" s="234"/>
      <c r="G31" s="234"/>
      <c r="H31" s="256">
        <f t="shared" si="1"/>
        <v>0</v>
      </c>
    </row>
    <row r="32" spans="1:8" ht="16.5" thickBot="1">
      <c r="A32" s="233">
        <v>2.2000000000000002</v>
      </c>
      <c r="B32" s="234" t="s">
        <v>395</v>
      </c>
      <c r="C32" s="234"/>
      <c r="D32" s="234"/>
      <c r="E32" s="234"/>
      <c r="F32" s="234"/>
      <c r="G32" s="234"/>
      <c r="H32" s="256">
        <f t="shared" si="1"/>
        <v>0</v>
      </c>
    </row>
    <row r="33" spans="1:8" ht="16.5" thickBot="1">
      <c r="A33" s="233">
        <v>2.2999999999999998</v>
      </c>
      <c r="B33" s="234" t="s">
        <v>433</v>
      </c>
      <c r="C33" s="235">
        <v>2645</v>
      </c>
      <c r="D33" s="235">
        <v>0</v>
      </c>
      <c r="E33" s="235">
        <v>0</v>
      </c>
      <c r="F33" s="235">
        <v>0</v>
      </c>
      <c r="G33" s="235">
        <v>0</v>
      </c>
      <c r="H33" s="257">
        <f t="shared" si="1"/>
        <v>2645</v>
      </c>
    </row>
    <row r="36" spans="1:8" ht="15.75">
      <c r="B36" s="142" t="s">
        <v>658</v>
      </c>
      <c r="C36" s="128"/>
      <c r="D36" s="128"/>
      <c r="E36" s="128"/>
      <c r="F36" s="128"/>
      <c r="G36" s="128"/>
    </row>
    <row r="37" spans="1:8" s="140" customFormat="1" ht="15.75">
      <c r="A37" s="111"/>
      <c r="B37" s="142" t="s">
        <v>659</v>
      </c>
      <c r="C37" s="143"/>
      <c r="D37" s="143"/>
      <c r="E37" s="144"/>
      <c r="F37" s="444" t="s">
        <v>660</v>
      </c>
      <c r="G37" s="144"/>
    </row>
    <row r="38" spans="1:8" s="140" customFormat="1" ht="15.75">
      <c r="A38" s="109"/>
      <c r="B38" s="145" t="s">
        <v>397</v>
      </c>
      <c r="C38" s="143"/>
      <c r="D38" s="143"/>
      <c r="E38" s="144"/>
      <c r="F38" s="144" t="s">
        <v>201</v>
      </c>
      <c r="G38" s="144"/>
    </row>
    <row r="39" spans="1:8" s="140" customFormat="1" ht="15.75">
      <c r="A39" s="143"/>
      <c r="B39" s="145"/>
      <c r="C39" s="143"/>
      <c r="D39" s="143"/>
      <c r="E39" s="143"/>
      <c r="F39" s="143"/>
      <c r="G39" s="143"/>
      <c r="H39" s="146"/>
    </row>
    <row r="40" spans="1:8" s="140" customFormat="1" ht="15.75">
      <c r="A40" s="143"/>
      <c r="B40" s="147" t="s">
        <v>204</v>
      </c>
      <c r="C40" s="148" t="s">
        <v>398</v>
      </c>
      <c r="D40" s="148"/>
      <c r="E40" s="148"/>
      <c r="F40" s="148"/>
      <c r="G40" s="143"/>
      <c r="H40" s="146"/>
    </row>
  </sheetData>
  <mergeCells count="5">
    <mergeCell ref="B1:G1"/>
    <mergeCell ref="F2:G2"/>
    <mergeCell ref="A3:G3"/>
    <mergeCell ref="A21:G21"/>
    <mergeCell ref="A20:H20"/>
  </mergeCells>
  <pageMargins left="0.6692913385826772" right="0.55118110236220474" top="0.78740157480314965" bottom="0.98425196850393704" header="0.51181102362204722" footer="0.51181102362204722"/>
  <pageSetup paperSize="9" scale="6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3:F9"/>
  <sheetViews>
    <sheetView workbookViewId="0">
      <selection activeCell="C11" sqref="C11"/>
    </sheetView>
  </sheetViews>
  <sheetFormatPr defaultRowHeight="15"/>
  <cols>
    <col min="1" max="1" width="52.140625" style="276" customWidth="1"/>
    <col min="2" max="2" width="8.42578125" style="274" customWidth="1"/>
    <col min="3" max="3" width="29.28515625" style="276" customWidth="1"/>
    <col min="4" max="4" width="10.140625" style="274" customWidth="1"/>
    <col min="5" max="5" width="22.5703125" style="276" customWidth="1"/>
    <col min="6" max="6" width="18.85546875" style="276" customWidth="1"/>
    <col min="7" max="252" width="9.140625" style="276"/>
    <col min="253" max="253" width="52.140625" style="276" customWidth="1"/>
    <col min="254" max="254" width="8.42578125" style="276" customWidth="1"/>
    <col min="255" max="255" width="0" style="276" hidden="1" customWidth="1"/>
    <col min="256" max="256" width="9.140625" style="276"/>
    <col min="257" max="257" width="29.28515625" style="276" customWidth="1"/>
    <col min="258" max="258" width="8.140625" style="276" customWidth="1"/>
    <col min="259" max="259" width="14" style="276" customWidth="1"/>
    <col min="260" max="260" width="0" style="276" hidden="1" customWidth="1"/>
    <col min="261" max="261" width="22.5703125" style="276" customWidth="1"/>
    <col min="262" max="262" width="16.140625" style="276" customWidth="1"/>
    <col min="263" max="508" width="9.140625" style="276"/>
    <col min="509" max="509" width="52.140625" style="276" customWidth="1"/>
    <col min="510" max="510" width="8.42578125" style="276" customWidth="1"/>
    <col min="511" max="511" width="0" style="276" hidden="1" customWidth="1"/>
    <col min="512" max="512" width="9.140625" style="276"/>
    <col min="513" max="513" width="29.28515625" style="276" customWidth="1"/>
    <col min="514" max="514" width="8.140625" style="276" customWidth="1"/>
    <col min="515" max="515" width="14" style="276" customWidth="1"/>
    <col min="516" max="516" width="0" style="276" hidden="1" customWidth="1"/>
    <col min="517" max="517" width="22.5703125" style="276" customWidth="1"/>
    <col min="518" max="518" width="16.140625" style="276" customWidth="1"/>
    <col min="519" max="764" width="9.140625" style="276"/>
    <col min="765" max="765" width="52.140625" style="276" customWidth="1"/>
    <col min="766" max="766" width="8.42578125" style="276" customWidth="1"/>
    <col min="767" max="767" width="0" style="276" hidden="1" customWidth="1"/>
    <col min="768" max="768" width="9.140625" style="276"/>
    <col min="769" max="769" width="29.28515625" style="276" customWidth="1"/>
    <col min="770" max="770" width="8.140625" style="276" customWidth="1"/>
    <col min="771" max="771" width="14" style="276" customWidth="1"/>
    <col min="772" max="772" width="0" style="276" hidden="1" customWidth="1"/>
    <col min="773" max="773" width="22.5703125" style="276" customWidth="1"/>
    <col min="774" max="774" width="16.140625" style="276" customWidth="1"/>
    <col min="775" max="1020" width="9.140625" style="276"/>
    <col min="1021" max="1021" width="52.140625" style="276" customWidth="1"/>
    <col min="1022" max="1022" width="8.42578125" style="276" customWidth="1"/>
    <col min="1023" max="1023" width="0" style="276" hidden="1" customWidth="1"/>
    <col min="1024" max="1024" width="9.140625" style="276"/>
    <col min="1025" max="1025" width="29.28515625" style="276" customWidth="1"/>
    <col min="1026" max="1026" width="8.140625" style="276" customWidth="1"/>
    <col min="1027" max="1027" width="14" style="276" customWidth="1"/>
    <col min="1028" max="1028" width="0" style="276" hidden="1" customWidth="1"/>
    <col min="1029" max="1029" width="22.5703125" style="276" customWidth="1"/>
    <col min="1030" max="1030" width="16.140625" style="276" customWidth="1"/>
    <col min="1031" max="1276" width="9.140625" style="276"/>
    <col min="1277" max="1277" width="52.140625" style="276" customWidth="1"/>
    <col min="1278" max="1278" width="8.42578125" style="276" customWidth="1"/>
    <col min="1279" max="1279" width="0" style="276" hidden="1" customWidth="1"/>
    <col min="1280" max="1280" width="9.140625" style="276"/>
    <col min="1281" max="1281" width="29.28515625" style="276" customWidth="1"/>
    <col min="1282" max="1282" width="8.140625" style="276" customWidth="1"/>
    <col min="1283" max="1283" width="14" style="276" customWidth="1"/>
    <col min="1284" max="1284" width="0" style="276" hidden="1" customWidth="1"/>
    <col min="1285" max="1285" width="22.5703125" style="276" customWidth="1"/>
    <col min="1286" max="1286" width="16.140625" style="276" customWidth="1"/>
    <col min="1287" max="1532" width="9.140625" style="276"/>
    <col min="1533" max="1533" width="52.140625" style="276" customWidth="1"/>
    <col min="1534" max="1534" width="8.42578125" style="276" customWidth="1"/>
    <col min="1535" max="1535" width="0" style="276" hidden="1" customWidth="1"/>
    <col min="1536" max="1536" width="9.140625" style="276"/>
    <col min="1537" max="1537" width="29.28515625" style="276" customWidth="1"/>
    <col min="1538" max="1538" width="8.140625" style="276" customWidth="1"/>
    <col min="1539" max="1539" width="14" style="276" customWidth="1"/>
    <col min="1540" max="1540" width="0" style="276" hidden="1" customWidth="1"/>
    <col min="1541" max="1541" width="22.5703125" style="276" customWidth="1"/>
    <col min="1542" max="1542" width="16.140625" style="276" customWidth="1"/>
    <col min="1543" max="1788" width="9.140625" style="276"/>
    <col min="1789" max="1789" width="52.140625" style="276" customWidth="1"/>
    <col min="1790" max="1790" width="8.42578125" style="276" customWidth="1"/>
    <col min="1791" max="1791" width="0" style="276" hidden="1" customWidth="1"/>
    <col min="1792" max="1792" width="9.140625" style="276"/>
    <col min="1793" max="1793" width="29.28515625" style="276" customWidth="1"/>
    <col min="1794" max="1794" width="8.140625" style="276" customWidth="1"/>
    <col min="1795" max="1795" width="14" style="276" customWidth="1"/>
    <col min="1796" max="1796" width="0" style="276" hidden="1" customWidth="1"/>
    <col min="1797" max="1797" width="22.5703125" style="276" customWidth="1"/>
    <col min="1798" max="1798" width="16.140625" style="276" customWidth="1"/>
    <col min="1799" max="2044" width="9.140625" style="276"/>
    <col min="2045" max="2045" width="52.140625" style="276" customWidth="1"/>
    <col min="2046" max="2046" width="8.42578125" style="276" customWidth="1"/>
    <col min="2047" max="2047" width="0" style="276" hidden="1" customWidth="1"/>
    <col min="2048" max="2048" width="9.140625" style="276"/>
    <col min="2049" max="2049" width="29.28515625" style="276" customWidth="1"/>
    <col min="2050" max="2050" width="8.140625" style="276" customWidth="1"/>
    <col min="2051" max="2051" width="14" style="276" customWidth="1"/>
    <col min="2052" max="2052" width="0" style="276" hidden="1" customWidth="1"/>
    <col min="2053" max="2053" width="22.5703125" style="276" customWidth="1"/>
    <col min="2054" max="2054" width="16.140625" style="276" customWidth="1"/>
    <col min="2055" max="2300" width="9.140625" style="276"/>
    <col min="2301" max="2301" width="52.140625" style="276" customWidth="1"/>
    <col min="2302" max="2302" width="8.42578125" style="276" customWidth="1"/>
    <col min="2303" max="2303" width="0" style="276" hidden="1" customWidth="1"/>
    <col min="2304" max="2304" width="9.140625" style="276"/>
    <col min="2305" max="2305" width="29.28515625" style="276" customWidth="1"/>
    <col min="2306" max="2306" width="8.140625" style="276" customWidth="1"/>
    <col min="2307" max="2307" width="14" style="276" customWidth="1"/>
    <col min="2308" max="2308" width="0" style="276" hidden="1" customWidth="1"/>
    <col min="2309" max="2309" width="22.5703125" style="276" customWidth="1"/>
    <col min="2310" max="2310" width="16.140625" style="276" customWidth="1"/>
    <col min="2311" max="2556" width="9.140625" style="276"/>
    <col min="2557" max="2557" width="52.140625" style="276" customWidth="1"/>
    <col min="2558" max="2558" width="8.42578125" style="276" customWidth="1"/>
    <col min="2559" max="2559" width="0" style="276" hidden="1" customWidth="1"/>
    <col min="2560" max="2560" width="9.140625" style="276"/>
    <col min="2561" max="2561" width="29.28515625" style="276" customWidth="1"/>
    <col min="2562" max="2562" width="8.140625" style="276" customWidth="1"/>
    <col min="2563" max="2563" width="14" style="276" customWidth="1"/>
    <col min="2564" max="2564" width="0" style="276" hidden="1" customWidth="1"/>
    <col min="2565" max="2565" width="22.5703125" style="276" customWidth="1"/>
    <col min="2566" max="2566" width="16.140625" style="276" customWidth="1"/>
    <col min="2567" max="2812" width="9.140625" style="276"/>
    <col min="2813" max="2813" width="52.140625" style="276" customWidth="1"/>
    <col min="2814" max="2814" width="8.42578125" style="276" customWidth="1"/>
    <col min="2815" max="2815" width="0" style="276" hidden="1" customWidth="1"/>
    <col min="2816" max="2816" width="9.140625" style="276"/>
    <col min="2817" max="2817" width="29.28515625" style="276" customWidth="1"/>
    <col min="2818" max="2818" width="8.140625" style="276" customWidth="1"/>
    <col min="2819" max="2819" width="14" style="276" customWidth="1"/>
    <col min="2820" max="2820" width="0" style="276" hidden="1" customWidth="1"/>
    <col min="2821" max="2821" width="22.5703125" style="276" customWidth="1"/>
    <col min="2822" max="2822" width="16.140625" style="276" customWidth="1"/>
    <col min="2823" max="3068" width="9.140625" style="276"/>
    <col min="3069" max="3069" width="52.140625" style="276" customWidth="1"/>
    <col min="3070" max="3070" width="8.42578125" style="276" customWidth="1"/>
    <col min="3071" max="3071" width="0" style="276" hidden="1" customWidth="1"/>
    <col min="3072" max="3072" width="9.140625" style="276"/>
    <col min="3073" max="3073" width="29.28515625" style="276" customWidth="1"/>
    <col min="3074" max="3074" width="8.140625" style="276" customWidth="1"/>
    <col min="3075" max="3075" width="14" style="276" customWidth="1"/>
    <col min="3076" max="3076" width="0" style="276" hidden="1" customWidth="1"/>
    <col min="3077" max="3077" width="22.5703125" style="276" customWidth="1"/>
    <col min="3078" max="3078" width="16.140625" style="276" customWidth="1"/>
    <col min="3079" max="3324" width="9.140625" style="276"/>
    <col min="3325" max="3325" width="52.140625" style="276" customWidth="1"/>
    <col min="3326" max="3326" width="8.42578125" style="276" customWidth="1"/>
    <col min="3327" max="3327" width="0" style="276" hidden="1" customWidth="1"/>
    <col min="3328" max="3328" width="9.140625" style="276"/>
    <col min="3329" max="3329" width="29.28515625" style="276" customWidth="1"/>
    <col min="3330" max="3330" width="8.140625" style="276" customWidth="1"/>
    <col min="3331" max="3331" width="14" style="276" customWidth="1"/>
    <col min="3332" max="3332" width="0" style="276" hidden="1" customWidth="1"/>
    <col min="3333" max="3333" width="22.5703125" style="276" customWidth="1"/>
    <col min="3334" max="3334" width="16.140625" style="276" customWidth="1"/>
    <col min="3335" max="3580" width="9.140625" style="276"/>
    <col min="3581" max="3581" width="52.140625" style="276" customWidth="1"/>
    <col min="3582" max="3582" width="8.42578125" style="276" customWidth="1"/>
    <col min="3583" max="3583" width="0" style="276" hidden="1" customWidth="1"/>
    <col min="3584" max="3584" width="9.140625" style="276"/>
    <col min="3585" max="3585" width="29.28515625" style="276" customWidth="1"/>
    <col min="3586" max="3586" width="8.140625" style="276" customWidth="1"/>
    <col min="3587" max="3587" width="14" style="276" customWidth="1"/>
    <col min="3588" max="3588" width="0" style="276" hidden="1" customWidth="1"/>
    <col min="3589" max="3589" width="22.5703125" style="276" customWidth="1"/>
    <col min="3590" max="3590" width="16.140625" style="276" customWidth="1"/>
    <col min="3591" max="3836" width="9.140625" style="276"/>
    <col min="3837" max="3837" width="52.140625" style="276" customWidth="1"/>
    <col min="3838" max="3838" width="8.42578125" style="276" customWidth="1"/>
    <col min="3839" max="3839" width="0" style="276" hidden="1" customWidth="1"/>
    <col min="3840" max="3840" width="9.140625" style="276"/>
    <col min="3841" max="3841" width="29.28515625" style="276" customWidth="1"/>
    <col min="3842" max="3842" width="8.140625" style="276" customWidth="1"/>
    <col min="3843" max="3843" width="14" style="276" customWidth="1"/>
    <col min="3844" max="3844" width="0" style="276" hidden="1" customWidth="1"/>
    <col min="3845" max="3845" width="22.5703125" style="276" customWidth="1"/>
    <col min="3846" max="3846" width="16.140625" style="276" customWidth="1"/>
    <col min="3847" max="4092" width="9.140625" style="276"/>
    <col min="4093" max="4093" width="52.140625" style="276" customWidth="1"/>
    <col min="4094" max="4094" width="8.42578125" style="276" customWidth="1"/>
    <col min="4095" max="4095" width="0" style="276" hidden="1" customWidth="1"/>
    <col min="4096" max="4096" width="9.140625" style="276"/>
    <col min="4097" max="4097" width="29.28515625" style="276" customWidth="1"/>
    <col min="4098" max="4098" width="8.140625" style="276" customWidth="1"/>
    <col min="4099" max="4099" width="14" style="276" customWidth="1"/>
    <col min="4100" max="4100" width="0" style="276" hidden="1" customWidth="1"/>
    <col min="4101" max="4101" width="22.5703125" style="276" customWidth="1"/>
    <col min="4102" max="4102" width="16.140625" style="276" customWidth="1"/>
    <col min="4103" max="4348" width="9.140625" style="276"/>
    <col min="4349" max="4349" width="52.140625" style="276" customWidth="1"/>
    <col min="4350" max="4350" width="8.42578125" style="276" customWidth="1"/>
    <col min="4351" max="4351" width="0" style="276" hidden="1" customWidth="1"/>
    <col min="4352" max="4352" width="9.140625" style="276"/>
    <col min="4353" max="4353" width="29.28515625" style="276" customWidth="1"/>
    <col min="4354" max="4354" width="8.140625" style="276" customWidth="1"/>
    <col min="4355" max="4355" width="14" style="276" customWidth="1"/>
    <col min="4356" max="4356" width="0" style="276" hidden="1" customWidth="1"/>
    <col min="4357" max="4357" width="22.5703125" style="276" customWidth="1"/>
    <col min="4358" max="4358" width="16.140625" style="276" customWidth="1"/>
    <col min="4359" max="4604" width="9.140625" style="276"/>
    <col min="4605" max="4605" width="52.140625" style="276" customWidth="1"/>
    <col min="4606" max="4606" width="8.42578125" style="276" customWidth="1"/>
    <col min="4607" max="4607" width="0" style="276" hidden="1" customWidth="1"/>
    <col min="4608" max="4608" width="9.140625" style="276"/>
    <col min="4609" max="4609" width="29.28515625" style="276" customWidth="1"/>
    <col min="4610" max="4610" width="8.140625" style="276" customWidth="1"/>
    <col min="4611" max="4611" width="14" style="276" customWidth="1"/>
    <col min="4612" max="4612" width="0" style="276" hidden="1" customWidth="1"/>
    <col min="4613" max="4613" width="22.5703125" style="276" customWidth="1"/>
    <col min="4614" max="4614" width="16.140625" style="276" customWidth="1"/>
    <col min="4615" max="4860" width="9.140625" style="276"/>
    <col min="4861" max="4861" width="52.140625" style="276" customWidth="1"/>
    <col min="4862" max="4862" width="8.42578125" style="276" customWidth="1"/>
    <col min="4863" max="4863" width="0" style="276" hidden="1" customWidth="1"/>
    <col min="4864" max="4864" width="9.140625" style="276"/>
    <col min="4865" max="4865" width="29.28515625" style="276" customWidth="1"/>
    <col min="4866" max="4866" width="8.140625" style="276" customWidth="1"/>
    <col min="4867" max="4867" width="14" style="276" customWidth="1"/>
    <col min="4868" max="4868" width="0" style="276" hidden="1" customWidth="1"/>
    <col min="4869" max="4869" width="22.5703125" style="276" customWidth="1"/>
    <col min="4870" max="4870" width="16.140625" style="276" customWidth="1"/>
    <col min="4871" max="5116" width="9.140625" style="276"/>
    <col min="5117" max="5117" width="52.140625" style="276" customWidth="1"/>
    <col min="5118" max="5118" width="8.42578125" style="276" customWidth="1"/>
    <col min="5119" max="5119" width="0" style="276" hidden="1" customWidth="1"/>
    <col min="5120" max="5120" width="9.140625" style="276"/>
    <col min="5121" max="5121" width="29.28515625" style="276" customWidth="1"/>
    <col min="5122" max="5122" width="8.140625" style="276" customWidth="1"/>
    <col min="5123" max="5123" width="14" style="276" customWidth="1"/>
    <col min="5124" max="5124" width="0" style="276" hidden="1" customWidth="1"/>
    <col min="5125" max="5125" width="22.5703125" style="276" customWidth="1"/>
    <col min="5126" max="5126" width="16.140625" style="276" customWidth="1"/>
    <col min="5127" max="5372" width="9.140625" style="276"/>
    <col min="5373" max="5373" width="52.140625" style="276" customWidth="1"/>
    <col min="5374" max="5374" width="8.42578125" style="276" customWidth="1"/>
    <col min="5375" max="5375" width="0" style="276" hidden="1" customWidth="1"/>
    <col min="5376" max="5376" width="9.140625" style="276"/>
    <col min="5377" max="5377" width="29.28515625" style="276" customWidth="1"/>
    <col min="5378" max="5378" width="8.140625" style="276" customWidth="1"/>
    <col min="5379" max="5379" width="14" style="276" customWidth="1"/>
    <col min="5380" max="5380" width="0" style="276" hidden="1" customWidth="1"/>
    <col min="5381" max="5381" width="22.5703125" style="276" customWidth="1"/>
    <col min="5382" max="5382" width="16.140625" style="276" customWidth="1"/>
    <col min="5383" max="5628" width="9.140625" style="276"/>
    <col min="5629" max="5629" width="52.140625" style="276" customWidth="1"/>
    <col min="5630" max="5630" width="8.42578125" style="276" customWidth="1"/>
    <col min="5631" max="5631" width="0" style="276" hidden="1" customWidth="1"/>
    <col min="5632" max="5632" width="9.140625" style="276"/>
    <col min="5633" max="5633" width="29.28515625" style="276" customWidth="1"/>
    <col min="5634" max="5634" width="8.140625" style="276" customWidth="1"/>
    <col min="5635" max="5635" width="14" style="276" customWidth="1"/>
    <col min="5636" max="5636" width="0" style="276" hidden="1" customWidth="1"/>
    <col min="5637" max="5637" width="22.5703125" style="276" customWidth="1"/>
    <col min="5638" max="5638" width="16.140625" style="276" customWidth="1"/>
    <col min="5639" max="5884" width="9.140625" style="276"/>
    <col min="5885" max="5885" width="52.140625" style="276" customWidth="1"/>
    <col min="5886" max="5886" width="8.42578125" style="276" customWidth="1"/>
    <col min="5887" max="5887" width="0" style="276" hidden="1" customWidth="1"/>
    <col min="5888" max="5888" width="9.140625" style="276"/>
    <col min="5889" max="5889" width="29.28515625" style="276" customWidth="1"/>
    <col min="5890" max="5890" width="8.140625" style="276" customWidth="1"/>
    <col min="5891" max="5891" width="14" style="276" customWidth="1"/>
    <col min="5892" max="5892" width="0" style="276" hidden="1" customWidth="1"/>
    <col min="5893" max="5893" width="22.5703125" style="276" customWidth="1"/>
    <col min="5894" max="5894" width="16.140625" style="276" customWidth="1"/>
    <col min="5895" max="6140" width="9.140625" style="276"/>
    <col min="6141" max="6141" width="52.140625" style="276" customWidth="1"/>
    <col min="6142" max="6142" width="8.42578125" style="276" customWidth="1"/>
    <col min="6143" max="6143" width="0" style="276" hidden="1" customWidth="1"/>
    <col min="6144" max="6144" width="9.140625" style="276"/>
    <col min="6145" max="6145" width="29.28515625" style="276" customWidth="1"/>
    <col min="6146" max="6146" width="8.140625" style="276" customWidth="1"/>
    <col min="6147" max="6147" width="14" style="276" customWidth="1"/>
    <col min="6148" max="6148" width="0" style="276" hidden="1" customWidth="1"/>
    <col min="6149" max="6149" width="22.5703125" style="276" customWidth="1"/>
    <col min="6150" max="6150" width="16.140625" style="276" customWidth="1"/>
    <col min="6151" max="6396" width="9.140625" style="276"/>
    <col min="6397" max="6397" width="52.140625" style="276" customWidth="1"/>
    <col min="6398" max="6398" width="8.42578125" style="276" customWidth="1"/>
    <col min="6399" max="6399" width="0" style="276" hidden="1" customWidth="1"/>
    <col min="6400" max="6400" width="9.140625" style="276"/>
    <col min="6401" max="6401" width="29.28515625" style="276" customWidth="1"/>
    <col min="6402" max="6402" width="8.140625" style="276" customWidth="1"/>
    <col min="6403" max="6403" width="14" style="276" customWidth="1"/>
    <col min="6404" max="6404" width="0" style="276" hidden="1" customWidth="1"/>
    <col min="6405" max="6405" width="22.5703125" style="276" customWidth="1"/>
    <col min="6406" max="6406" width="16.140625" style="276" customWidth="1"/>
    <col min="6407" max="6652" width="9.140625" style="276"/>
    <col min="6653" max="6653" width="52.140625" style="276" customWidth="1"/>
    <col min="6654" max="6654" width="8.42578125" style="276" customWidth="1"/>
    <col min="6655" max="6655" width="0" style="276" hidden="1" customWidth="1"/>
    <col min="6656" max="6656" width="9.140625" style="276"/>
    <col min="6657" max="6657" width="29.28515625" style="276" customWidth="1"/>
    <col min="6658" max="6658" width="8.140625" style="276" customWidth="1"/>
    <col min="6659" max="6659" width="14" style="276" customWidth="1"/>
    <col min="6660" max="6660" width="0" style="276" hidden="1" customWidth="1"/>
    <col min="6661" max="6661" width="22.5703125" style="276" customWidth="1"/>
    <col min="6662" max="6662" width="16.140625" style="276" customWidth="1"/>
    <col min="6663" max="6908" width="9.140625" style="276"/>
    <col min="6909" max="6909" width="52.140625" style="276" customWidth="1"/>
    <col min="6910" max="6910" width="8.42578125" style="276" customWidth="1"/>
    <col min="6911" max="6911" width="0" style="276" hidden="1" customWidth="1"/>
    <col min="6912" max="6912" width="9.140625" style="276"/>
    <col min="6913" max="6913" width="29.28515625" style="276" customWidth="1"/>
    <col min="6914" max="6914" width="8.140625" style="276" customWidth="1"/>
    <col min="6915" max="6915" width="14" style="276" customWidth="1"/>
    <col min="6916" max="6916" width="0" style="276" hidden="1" customWidth="1"/>
    <col min="6917" max="6917" width="22.5703125" style="276" customWidth="1"/>
    <col min="6918" max="6918" width="16.140625" style="276" customWidth="1"/>
    <col min="6919" max="7164" width="9.140625" style="276"/>
    <col min="7165" max="7165" width="52.140625" style="276" customWidth="1"/>
    <col min="7166" max="7166" width="8.42578125" style="276" customWidth="1"/>
    <col min="7167" max="7167" width="0" style="276" hidden="1" customWidth="1"/>
    <col min="7168" max="7168" width="9.140625" style="276"/>
    <col min="7169" max="7169" width="29.28515625" style="276" customWidth="1"/>
    <col min="7170" max="7170" width="8.140625" style="276" customWidth="1"/>
    <col min="7171" max="7171" width="14" style="276" customWidth="1"/>
    <col min="7172" max="7172" width="0" style="276" hidden="1" customWidth="1"/>
    <col min="7173" max="7173" width="22.5703125" style="276" customWidth="1"/>
    <col min="7174" max="7174" width="16.140625" style="276" customWidth="1"/>
    <col min="7175" max="7420" width="9.140625" style="276"/>
    <col min="7421" max="7421" width="52.140625" style="276" customWidth="1"/>
    <col min="7422" max="7422" width="8.42578125" style="276" customWidth="1"/>
    <col min="7423" max="7423" width="0" style="276" hidden="1" customWidth="1"/>
    <col min="7424" max="7424" width="9.140625" style="276"/>
    <col min="7425" max="7425" width="29.28515625" style="276" customWidth="1"/>
    <col min="7426" max="7426" width="8.140625" style="276" customWidth="1"/>
    <col min="7427" max="7427" width="14" style="276" customWidth="1"/>
    <col min="7428" max="7428" width="0" style="276" hidden="1" customWidth="1"/>
    <col min="7429" max="7429" width="22.5703125" style="276" customWidth="1"/>
    <col min="7430" max="7430" width="16.140625" style="276" customWidth="1"/>
    <col min="7431" max="7676" width="9.140625" style="276"/>
    <col min="7677" max="7677" width="52.140625" style="276" customWidth="1"/>
    <col min="7678" max="7678" width="8.42578125" style="276" customWidth="1"/>
    <col min="7679" max="7679" width="0" style="276" hidden="1" customWidth="1"/>
    <col min="7680" max="7680" width="9.140625" style="276"/>
    <col min="7681" max="7681" width="29.28515625" style="276" customWidth="1"/>
    <col min="7682" max="7682" width="8.140625" style="276" customWidth="1"/>
    <col min="7683" max="7683" width="14" style="276" customWidth="1"/>
    <col min="7684" max="7684" width="0" style="276" hidden="1" customWidth="1"/>
    <col min="7685" max="7685" width="22.5703125" style="276" customWidth="1"/>
    <col min="7686" max="7686" width="16.140625" style="276" customWidth="1"/>
    <col min="7687" max="7932" width="9.140625" style="276"/>
    <col min="7933" max="7933" width="52.140625" style="276" customWidth="1"/>
    <col min="7934" max="7934" width="8.42578125" style="276" customWidth="1"/>
    <col min="7935" max="7935" width="0" style="276" hidden="1" customWidth="1"/>
    <col min="7936" max="7936" width="9.140625" style="276"/>
    <col min="7937" max="7937" width="29.28515625" style="276" customWidth="1"/>
    <col min="7938" max="7938" width="8.140625" style="276" customWidth="1"/>
    <col min="7939" max="7939" width="14" style="276" customWidth="1"/>
    <col min="7940" max="7940" width="0" style="276" hidden="1" customWidth="1"/>
    <col min="7941" max="7941" width="22.5703125" style="276" customWidth="1"/>
    <col min="7942" max="7942" width="16.140625" style="276" customWidth="1"/>
    <col min="7943" max="8188" width="9.140625" style="276"/>
    <col min="8189" max="8189" width="52.140625" style="276" customWidth="1"/>
    <col min="8190" max="8190" width="8.42578125" style="276" customWidth="1"/>
    <col min="8191" max="8191" width="0" style="276" hidden="1" customWidth="1"/>
    <col min="8192" max="8192" width="9.140625" style="276"/>
    <col min="8193" max="8193" width="29.28515625" style="276" customWidth="1"/>
    <col min="8194" max="8194" width="8.140625" style="276" customWidth="1"/>
    <col min="8195" max="8195" width="14" style="276" customWidth="1"/>
    <col min="8196" max="8196" width="0" style="276" hidden="1" customWidth="1"/>
    <col min="8197" max="8197" width="22.5703125" style="276" customWidth="1"/>
    <col min="8198" max="8198" width="16.140625" style="276" customWidth="1"/>
    <col min="8199" max="8444" width="9.140625" style="276"/>
    <col min="8445" max="8445" width="52.140625" style="276" customWidth="1"/>
    <col min="8446" max="8446" width="8.42578125" style="276" customWidth="1"/>
    <col min="8447" max="8447" width="0" style="276" hidden="1" customWidth="1"/>
    <col min="8448" max="8448" width="9.140625" style="276"/>
    <col min="8449" max="8449" width="29.28515625" style="276" customWidth="1"/>
    <col min="8450" max="8450" width="8.140625" style="276" customWidth="1"/>
    <col min="8451" max="8451" width="14" style="276" customWidth="1"/>
    <col min="8452" max="8452" width="0" style="276" hidden="1" customWidth="1"/>
    <col min="8453" max="8453" width="22.5703125" style="276" customWidth="1"/>
    <col min="8454" max="8454" width="16.140625" style="276" customWidth="1"/>
    <col min="8455" max="8700" width="9.140625" style="276"/>
    <col min="8701" max="8701" width="52.140625" style="276" customWidth="1"/>
    <col min="8702" max="8702" width="8.42578125" style="276" customWidth="1"/>
    <col min="8703" max="8703" width="0" style="276" hidden="1" customWidth="1"/>
    <col min="8704" max="8704" width="9.140625" style="276"/>
    <col min="8705" max="8705" width="29.28515625" style="276" customWidth="1"/>
    <col min="8706" max="8706" width="8.140625" style="276" customWidth="1"/>
    <col min="8707" max="8707" width="14" style="276" customWidth="1"/>
    <col min="8708" max="8708" width="0" style="276" hidden="1" customWidth="1"/>
    <col min="8709" max="8709" width="22.5703125" style="276" customWidth="1"/>
    <col min="8710" max="8710" width="16.140625" style="276" customWidth="1"/>
    <col min="8711" max="8956" width="9.140625" style="276"/>
    <col min="8957" max="8957" width="52.140625" style="276" customWidth="1"/>
    <col min="8958" max="8958" width="8.42578125" style="276" customWidth="1"/>
    <col min="8959" max="8959" width="0" style="276" hidden="1" customWidth="1"/>
    <col min="8960" max="8960" width="9.140625" style="276"/>
    <col min="8961" max="8961" width="29.28515625" style="276" customWidth="1"/>
    <col min="8962" max="8962" width="8.140625" style="276" customWidth="1"/>
    <col min="8963" max="8963" width="14" style="276" customWidth="1"/>
    <col min="8964" max="8964" width="0" style="276" hidden="1" customWidth="1"/>
    <col min="8965" max="8965" width="22.5703125" style="276" customWidth="1"/>
    <col min="8966" max="8966" width="16.140625" style="276" customWidth="1"/>
    <col min="8967" max="9212" width="9.140625" style="276"/>
    <col min="9213" max="9213" width="52.140625" style="276" customWidth="1"/>
    <col min="9214" max="9214" width="8.42578125" style="276" customWidth="1"/>
    <col min="9215" max="9215" width="0" style="276" hidden="1" customWidth="1"/>
    <col min="9216" max="9216" width="9.140625" style="276"/>
    <col min="9217" max="9217" width="29.28515625" style="276" customWidth="1"/>
    <col min="9218" max="9218" width="8.140625" style="276" customWidth="1"/>
    <col min="9219" max="9219" width="14" style="276" customWidth="1"/>
    <col min="9220" max="9220" width="0" style="276" hidden="1" customWidth="1"/>
    <col min="9221" max="9221" width="22.5703125" style="276" customWidth="1"/>
    <col min="9222" max="9222" width="16.140625" style="276" customWidth="1"/>
    <col min="9223" max="9468" width="9.140625" style="276"/>
    <col min="9469" max="9469" width="52.140625" style="276" customWidth="1"/>
    <col min="9470" max="9470" width="8.42578125" style="276" customWidth="1"/>
    <col min="9471" max="9471" width="0" style="276" hidden="1" customWidth="1"/>
    <col min="9472" max="9472" width="9.140625" style="276"/>
    <col min="9473" max="9473" width="29.28515625" style="276" customWidth="1"/>
    <col min="9474" max="9474" width="8.140625" style="276" customWidth="1"/>
    <col min="9475" max="9475" width="14" style="276" customWidth="1"/>
    <col min="9476" max="9476" width="0" style="276" hidden="1" customWidth="1"/>
    <col min="9477" max="9477" width="22.5703125" style="276" customWidth="1"/>
    <col min="9478" max="9478" width="16.140625" style="276" customWidth="1"/>
    <col min="9479" max="9724" width="9.140625" style="276"/>
    <col min="9725" max="9725" width="52.140625" style="276" customWidth="1"/>
    <col min="9726" max="9726" width="8.42578125" style="276" customWidth="1"/>
    <col min="9727" max="9727" width="0" style="276" hidden="1" customWidth="1"/>
    <col min="9728" max="9728" width="9.140625" style="276"/>
    <col min="9729" max="9729" width="29.28515625" style="276" customWidth="1"/>
    <col min="9730" max="9730" width="8.140625" style="276" customWidth="1"/>
    <col min="9731" max="9731" width="14" style="276" customWidth="1"/>
    <col min="9732" max="9732" width="0" style="276" hidden="1" customWidth="1"/>
    <col min="9733" max="9733" width="22.5703125" style="276" customWidth="1"/>
    <col min="9734" max="9734" width="16.140625" style="276" customWidth="1"/>
    <col min="9735" max="9980" width="9.140625" style="276"/>
    <col min="9981" max="9981" width="52.140625" style="276" customWidth="1"/>
    <col min="9982" max="9982" width="8.42578125" style="276" customWidth="1"/>
    <col min="9983" max="9983" width="0" style="276" hidden="1" customWidth="1"/>
    <col min="9984" max="9984" width="9.140625" style="276"/>
    <col min="9985" max="9985" width="29.28515625" style="276" customWidth="1"/>
    <col min="9986" max="9986" width="8.140625" style="276" customWidth="1"/>
    <col min="9987" max="9987" width="14" style="276" customWidth="1"/>
    <col min="9988" max="9988" width="0" style="276" hidden="1" customWidth="1"/>
    <col min="9989" max="9989" width="22.5703125" style="276" customWidth="1"/>
    <col min="9990" max="9990" width="16.140625" style="276" customWidth="1"/>
    <col min="9991" max="10236" width="9.140625" style="276"/>
    <col min="10237" max="10237" width="52.140625" style="276" customWidth="1"/>
    <col min="10238" max="10238" width="8.42578125" style="276" customWidth="1"/>
    <col min="10239" max="10239" width="0" style="276" hidden="1" customWidth="1"/>
    <col min="10240" max="10240" width="9.140625" style="276"/>
    <col min="10241" max="10241" width="29.28515625" style="276" customWidth="1"/>
    <col min="10242" max="10242" width="8.140625" style="276" customWidth="1"/>
    <col min="10243" max="10243" width="14" style="276" customWidth="1"/>
    <col min="10244" max="10244" width="0" style="276" hidden="1" customWidth="1"/>
    <col min="10245" max="10245" width="22.5703125" style="276" customWidth="1"/>
    <col min="10246" max="10246" width="16.140625" style="276" customWidth="1"/>
    <col min="10247" max="10492" width="9.140625" style="276"/>
    <col min="10493" max="10493" width="52.140625" style="276" customWidth="1"/>
    <col min="10494" max="10494" width="8.42578125" style="276" customWidth="1"/>
    <col min="10495" max="10495" width="0" style="276" hidden="1" customWidth="1"/>
    <col min="10496" max="10496" width="9.140625" style="276"/>
    <col min="10497" max="10497" width="29.28515625" style="276" customWidth="1"/>
    <col min="10498" max="10498" width="8.140625" style="276" customWidth="1"/>
    <col min="10499" max="10499" width="14" style="276" customWidth="1"/>
    <col min="10500" max="10500" width="0" style="276" hidden="1" customWidth="1"/>
    <col min="10501" max="10501" width="22.5703125" style="276" customWidth="1"/>
    <col min="10502" max="10502" width="16.140625" style="276" customWidth="1"/>
    <col min="10503" max="10748" width="9.140625" style="276"/>
    <col min="10749" max="10749" width="52.140625" style="276" customWidth="1"/>
    <col min="10750" max="10750" width="8.42578125" style="276" customWidth="1"/>
    <col min="10751" max="10751" width="0" style="276" hidden="1" customWidth="1"/>
    <col min="10752" max="10752" width="9.140625" style="276"/>
    <col min="10753" max="10753" width="29.28515625" style="276" customWidth="1"/>
    <col min="10754" max="10754" width="8.140625" style="276" customWidth="1"/>
    <col min="10755" max="10755" width="14" style="276" customWidth="1"/>
    <col min="10756" max="10756" width="0" style="276" hidden="1" customWidth="1"/>
    <col min="10757" max="10757" width="22.5703125" style="276" customWidth="1"/>
    <col min="10758" max="10758" width="16.140625" style="276" customWidth="1"/>
    <col min="10759" max="11004" width="9.140625" style="276"/>
    <col min="11005" max="11005" width="52.140625" style="276" customWidth="1"/>
    <col min="11006" max="11006" width="8.42578125" style="276" customWidth="1"/>
    <col min="11007" max="11007" width="0" style="276" hidden="1" customWidth="1"/>
    <col min="11008" max="11008" width="9.140625" style="276"/>
    <col min="11009" max="11009" width="29.28515625" style="276" customWidth="1"/>
    <col min="11010" max="11010" width="8.140625" style="276" customWidth="1"/>
    <col min="11011" max="11011" width="14" style="276" customWidth="1"/>
    <col min="11012" max="11012" width="0" style="276" hidden="1" customWidth="1"/>
    <col min="11013" max="11013" width="22.5703125" style="276" customWidth="1"/>
    <col min="11014" max="11014" width="16.140625" style="276" customWidth="1"/>
    <col min="11015" max="11260" width="9.140625" style="276"/>
    <col min="11261" max="11261" width="52.140625" style="276" customWidth="1"/>
    <col min="11262" max="11262" width="8.42578125" style="276" customWidth="1"/>
    <col min="11263" max="11263" width="0" style="276" hidden="1" customWidth="1"/>
    <col min="11264" max="11264" width="9.140625" style="276"/>
    <col min="11265" max="11265" width="29.28515625" style="276" customWidth="1"/>
    <col min="11266" max="11266" width="8.140625" style="276" customWidth="1"/>
    <col min="11267" max="11267" width="14" style="276" customWidth="1"/>
    <col min="11268" max="11268" width="0" style="276" hidden="1" customWidth="1"/>
    <col min="11269" max="11269" width="22.5703125" style="276" customWidth="1"/>
    <col min="11270" max="11270" width="16.140625" style="276" customWidth="1"/>
    <col min="11271" max="11516" width="9.140625" style="276"/>
    <col min="11517" max="11517" width="52.140625" style="276" customWidth="1"/>
    <col min="11518" max="11518" width="8.42578125" style="276" customWidth="1"/>
    <col min="11519" max="11519" width="0" style="276" hidden="1" customWidth="1"/>
    <col min="11520" max="11520" width="9.140625" style="276"/>
    <col min="11521" max="11521" width="29.28515625" style="276" customWidth="1"/>
    <col min="11522" max="11522" width="8.140625" style="276" customWidth="1"/>
    <col min="11523" max="11523" width="14" style="276" customWidth="1"/>
    <col min="11524" max="11524" width="0" style="276" hidden="1" customWidth="1"/>
    <col min="11525" max="11525" width="22.5703125" style="276" customWidth="1"/>
    <col min="11526" max="11526" width="16.140625" style="276" customWidth="1"/>
    <col min="11527" max="11772" width="9.140625" style="276"/>
    <col min="11773" max="11773" width="52.140625" style="276" customWidth="1"/>
    <col min="11774" max="11774" width="8.42578125" style="276" customWidth="1"/>
    <col min="11775" max="11775" width="0" style="276" hidden="1" customWidth="1"/>
    <col min="11776" max="11776" width="9.140625" style="276"/>
    <col min="11777" max="11777" width="29.28515625" style="276" customWidth="1"/>
    <col min="11778" max="11778" width="8.140625" style="276" customWidth="1"/>
    <col min="11779" max="11779" width="14" style="276" customWidth="1"/>
    <col min="11780" max="11780" width="0" style="276" hidden="1" customWidth="1"/>
    <col min="11781" max="11781" width="22.5703125" style="276" customWidth="1"/>
    <col min="11782" max="11782" width="16.140625" style="276" customWidth="1"/>
    <col min="11783" max="12028" width="9.140625" style="276"/>
    <col min="12029" max="12029" width="52.140625" style="276" customWidth="1"/>
    <col min="12030" max="12030" width="8.42578125" style="276" customWidth="1"/>
    <col min="12031" max="12031" width="0" style="276" hidden="1" customWidth="1"/>
    <col min="12032" max="12032" width="9.140625" style="276"/>
    <col min="12033" max="12033" width="29.28515625" style="276" customWidth="1"/>
    <col min="12034" max="12034" width="8.140625" style="276" customWidth="1"/>
    <col min="12035" max="12035" width="14" style="276" customWidth="1"/>
    <col min="12036" max="12036" width="0" style="276" hidden="1" customWidth="1"/>
    <col min="12037" max="12037" width="22.5703125" style="276" customWidth="1"/>
    <col min="12038" max="12038" width="16.140625" style="276" customWidth="1"/>
    <col min="12039" max="12284" width="9.140625" style="276"/>
    <col min="12285" max="12285" width="52.140625" style="276" customWidth="1"/>
    <col min="12286" max="12286" width="8.42578125" style="276" customWidth="1"/>
    <col min="12287" max="12287" width="0" style="276" hidden="1" customWidth="1"/>
    <col min="12288" max="12288" width="9.140625" style="276"/>
    <col min="12289" max="12289" width="29.28515625" style="276" customWidth="1"/>
    <col min="12290" max="12290" width="8.140625" style="276" customWidth="1"/>
    <col min="12291" max="12291" width="14" style="276" customWidth="1"/>
    <col min="12292" max="12292" width="0" style="276" hidden="1" customWidth="1"/>
    <col min="12293" max="12293" width="22.5703125" style="276" customWidth="1"/>
    <col min="12294" max="12294" width="16.140625" style="276" customWidth="1"/>
    <col min="12295" max="12540" width="9.140625" style="276"/>
    <col min="12541" max="12541" width="52.140625" style="276" customWidth="1"/>
    <col min="12542" max="12542" width="8.42578125" style="276" customWidth="1"/>
    <col min="12543" max="12543" width="0" style="276" hidden="1" customWidth="1"/>
    <col min="12544" max="12544" width="9.140625" style="276"/>
    <col min="12545" max="12545" width="29.28515625" style="276" customWidth="1"/>
    <col min="12546" max="12546" width="8.140625" style="276" customWidth="1"/>
    <col min="12547" max="12547" width="14" style="276" customWidth="1"/>
    <col min="12548" max="12548" width="0" style="276" hidden="1" customWidth="1"/>
    <col min="12549" max="12549" width="22.5703125" style="276" customWidth="1"/>
    <col min="12550" max="12550" width="16.140625" style="276" customWidth="1"/>
    <col min="12551" max="12796" width="9.140625" style="276"/>
    <col min="12797" max="12797" width="52.140625" style="276" customWidth="1"/>
    <col min="12798" max="12798" width="8.42578125" style="276" customWidth="1"/>
    <col min="12799" max="12799" width="0" style="276" hidden="1" customWidth="1"/>
    <col min="12800" max="12800" width="9.140625" style="276"/>
    <col min="12801" max="12801" width="29.28515625" style="276" customWidth="1"/>
    <col min="12802" max="12802" width="8.140625" style="276" customWidth="1"/>
    <col min="12803" max="12803" width="14" style="276" customWidth="1"/>
    <col min="12804" max="12804" width="0" style="276" hidden="1" customWidth="1"/>
    <col min="12805" max="12805" width="22.5703125" style="276" customWidth="1"/>
    <col min="12806" max="12806" width="16.140625" style="276" customWidth="1"/>
    <col min="12807" max="13052" width="9.140625" style="276"/>
    <col min="13053" max="13053" width="52.140625" style="276" customWidth="1"/>
    <col min="13054" max="13054" width="8.42578125" style="276" customWidth="1"/>
    <col min="13055" max="13055" width="0" style="276" hidden="1" customWidth="1"/>
    <col min="13056" max="13056" width="9.140625" style="276"/>
    <col min="13057" max="13057" width="29.28515625" style="276" customWidth="1"/>
    <col min="13058" max="13058" width="8.140625" style="276" customWidth="1"/>
    <col min="13059" max="13059" width="14" style="276" customWidth="1"/>
    <col min="13060" max="13060" width="0" style="276" hidden="1" customWidth="1"/>
    <col min="13061" max="13061" width="22.5703125" style="276" customWidth="1"/>
    <col min="13062" max="13062" width="16.140625" style="276" customWidth="1"/>
    <col min="13063" max="13308" width="9.140625" style="276"/>
    <col min="13309" max="13309" width="52.140625" style="276" customWidth="1"/>
    <col min="13310" max="13310" width="8.42578125" style="276" customWidth="1"/>
    <col min="13311" max="13311" width="0" style="276" hidden="1" customWidth="1"/>
    <col min="13312" max="13312" width="9.140625" style="276"/>
    <col min="13313" max="13313" width="29.28515625" style="276" customWidth="1"/>
    <col min="13314" max="13314" width="8.140625" style="276" customWidth="1"/>
    <col min="13315" max="13315" width="14" style="276" customWidth="1"/>
    <col min="13316" max="13316" width="0" style="276" hidden="1" customWidth="1"/>
    <col min="13317" max="13317" width="22.5703125" style="276" customWidth="1"/>
    <col min="13318" max="13318" width="16.140625" style="276" customWidth="1"/>
    <col min="13319" max="13564" width="9.140625" style="276"/>
    <col min="13565" max="13565" width="52.140625" style="276" customWidth="1"/>
    <col min="13566" max="13566" width="8.42578125" style="276" customWidth="1"/>
    <col min="13567" max="13567" width="0" style="276" hidden="1" customWidth="1"/>
    <col min="13568" max="13568" width="9.140625" style="276"/>
    <col min="13569" max="13569" width="29.28515625" style="276" customWidth="1"/>
    <col min="13570" max="13570" width="8.140625" style="276" customWidth="1"/>
    <col min="13571" max="13571" width="14" style="276" customWidth="1"/>
    <col min="13572" max="13572" width="0" style="276" hidden="1" customWidth="1"/>
    <col min="13573" max="13573" width="22.5703125" style="276" customWidth="1"/>
    <col min="13574" max="13574" width="16.140625" style="276" customWidth="1"/>
    <col min="13575" max="13820" width="9.140625" style="276"/>
    <col min="13821" max="13821" width="52.140625" style="276" customWidth="1"/>
    <col min="13822" max="13822" width="8.42578125" style="276" customWidth="1"/>
    <col min="13823" max="13823" width="0" style="276" hidden="1" customWidth="1"/>
    <col min="13824" max="13824" width="9.140625" style="276"/>
    <col min="13825" max="13825" width="29.28515625" style="276" customWidth="1"/>
    <col min="13826" max="13826" width="8.140625" style="276" customWidth="1"/>
    <col min="13827" max="13827" width="14" style="276" customWidth="1"/>
    <col min="13828" max="13828" width="0" style="276" hidden="1" customWidth="1"/>
    <col min="13829" max="13829" width="22.5703125" style="276" customWidth="1"/>
    <col min="13830" max="13830" width="16.140625" style="276" customWidth="1"/>
    <col min="13831" max="14076" width="9.140625" style="276"/>
    <col min="14077" max="14077" width="52.140625" style="276" customWidth="1"/>
    <col min="14078" max="14078" width="8.42578125" style="276" customWidth="1"/>
    <col min="14079" max="14079" width="0" style="276" hidden="1" customWidth="1"/>
    <col min="14080" max="14080" width="9.140625" style="276"/>
    <col min="14081" max="14081" width="29.28515625" style="276" customWidth="1"/>
    <col min="14082" max="14082" width="8.140625" style="276" customWidth="1"/>
    <col min="14083" max="14083" width="14" style="276" customWidth="1"/>
    <col min="14084" max="14084" width="0" style="276" hidden="1" customWidth="1"/>
    <col min="14085" max="14085" width="22.5703125" style="276" customWidth="1"/>
    <col min="14086" max="14086" width="16.140625" style="276" customWidth="1"/>
    <col min="14087" max="14332" width="9.140625" style="276"/>
    <col min="14333" max="14333" width="52.140625" style="276" customWidth="1"/>
    <col min="14334" max="14334" width="8.42578125" style="276" customWidth="1"/>
    <col min="14335" max="14335" width="0" style="276" hidden="1" customWidth="1"/>
    <col min="14336" max="14336" width="9.140625" style="276"/>
    <col min="14337" max="14337" width="29.28515625" style="276" customWidth="1"/>
    <col min="14338" max="14338" width="8.140625" style="276" customWidth="1"/>
    <col min="14339" max="14339" width="14" style="276" customWidth="1"/>
    <col min="14340" max="14340" width="0" style="276" hidden="1" customWidth="1"/>
    <col min="14341" max="14341" width="22.5703125" style="276" customWidth="1"/>
    <col min="14342" max="14342" width="16.140625" style="276" customWidth="1"/>
    <col min="14343" max="14588" width="9.140625" style="276"/>
    <col min="14589" max="14589" width="52.140625" style="276" customWidth="1"/>
    <col min="14590" max="14590" width="8.42578125" style="276" customWidth="1"/>
    <col min="14591" max="14591" width="0" style="276" hidden="1" customWidth="1"/>
    <col min="14592" max="14592" width="9.140625" style="276"/>
    <col min="14593" max="14593" width="29.28515625" style="276" customWidth="1"/>
    <col min="14594" max="14594" width="8.140625" style="276" customWidth="1"/>
    <col min="14595" max="14595" width="14" style="276" customWidth="1"/>
    <col min="14596" max="14596" width="0" style="276" hidden="1" customWidth="1"/>
    <col min="14597" max="14597" width="22.5703125" style="276" customWidth="1"/>
    <col min="14598" max="14598" width="16.140625" style="276" customWidth="1"/>
    <col min="14599" max="14844" width="9.140625" style="276"/>
    <col min="14845" max="14845" width="52.140625" style="276" customWidth="1"/>
    <col min="14846" max="14846" width="8.42578125" style="276" customWidth="1"/>
    <col min="14847" max="14847" width="0" style="276" hidden="1" customWidth="1"/>
    <col min="14848" max="14848" width="9.140625" style="276"/>
    <col min="14849" max="14849" width="29.28515625" style="276" customWidth="1"/>
    <col min="14850" max="14850" width="8.140625" style="276" customWidth="1"/>
    <col min="14851" max="14851" width="14" style="276" customWidth="1"/>
    <col min="14852" max="14852" width="0" style="276" hidden="1" customWidth="1"/>
    <col min="14853" max="14853" width="22.5703125" style="276" customWidth="1"/>
    <col min="14854" max="14854" width="16.140625" style="276" customWidth="1"/>
    <col min="14855" max="15100" width="9.140625" style="276"/>
    <col min="15101" max="15101" width="52.140625" style="276" customWidth="1"/>
    <col min="15102" max="15102" width="8.42578125" style="276" customWidth="1"/>
    <col min="15103" max="15103" width="0" style="276" hidden="1" customWidth="1"/>
    <col min="15104" max="15104" width="9.140625" style="276"/>
    <col min="15105" max="15105" width="29.28515625" style="276" customWidth="1"/>
    <col min="15106" max="15106" width="8.140625" style="276" customWidth="1"/>
    <col min="15107" max="15107" width="14" style="276" customWidth="1"/>
    <col min="15108" max="15108" width="0" style="276" hidden="1" customWidth="1"/>
    <col min="15109" max="15109" width="22.5703125" style="276" customWidth="1"/>
    <col min="15110" max="15110" width="16.140625" style="276" customWidth="1"/>
    <col min="15111" max="15356" width="9.140625" style="276"/>
    <col min="15357" max="15357" width="52.140625" style="276" customWidth="1"/>
    <col min="15358" max="15358" width="8.42578125" style="276" customWidth="1"/>
    <col min="15359" max="15359" width="0" style="276" hidden="1" customWidth="1"/>
    <col min="15360" max="15360" width="9.140625" style="276"/>
    <col min="15361" max="15361" width="29.28515625" style="276" customWidth="1"/>
    <col min="15362" max="15362" width="8.140625" style="276" customWidth="1"/>
    <col min="15363" max="15363" width="14" style="276" customWidth="1"/>
    <col min="15364" max="15364" width="0" style="276" hidden="1" customWidth="1"/>
    <col min="15365" max="15365" width="22.5703125" style="276" customWidth="1"/>
    <col min="15366" max="15366" width="16.140625" style="276" customWidth="1"/>
    <col min="15367" max="15612" width="9.140625" style="276"/>
    <col min="15613" max="15613" width="52.140625" style="276" customWidth="1"/>
    <col min="15614" max="15614" width="8.42578125" style="276" customWidth="1"/>
    <col min="15615" max="15615" width="0" style="276" hidden="1" customWidth="1"/>
    <col min="15616" max="15616" width="9.140625" style="276"/>
    <col min="15617" max="15617" width="29.28515625" style="276" customWidth="1"/>
    <col min="15618" max="15618" width="8.140625" style="276" customWidth="1"/>
    <col min="15619" max="15619" width="14" style="276" customWidth="1"/>
    <col min="15620" max="15620" width="0" style="276" hidden="1" customWidth="1"/>
    <col min="15621" max="15621" width="22.5703125" style="276" customWidth="1"/>
    <col min="15622" max="15622" width="16.140625" style="276" customWidth="1"/>
    <col min="15623" max="15868" width="9.140625" style="276"/>
    <col min="15869" max="15869" width="52.140625" style="276" customWidth="1"/>
    <col min="15870" max="15870" width="8.42578125" style="276" customWidth="1"/>
    <col min="15871" max="15871" width="0" style="276" hidden="1" customWidth="1"/>
    <col min="15872" max="15872" width="9.140625" style="276"/>
    <col min="15873" max="15873" width="29.28515625" style="276" customWidth="1"/>
    <col min="15874" max="15874" width="8.140625" style="276" customWidth="1"/>
    <col min="15875" max="15875" width="14" style="276" customWidth="1"/>
    <col min="15876" max="15876" width="0" style="276" hidden="1" customWidth="1"/>
    <col min="15877" max="15877" width="22.5703125" style="276" customWidth="1"/>
    <col min="15878" max="15878" width="16.140625" style="276" customWidth="1"/>
    <col min="15879" max="16124" width="9.140625" style="276"/>
    <col min="16125" max="16125" width="52.140625" style="276" customWidth="1"/>
    <col min="16126" max="16126" width="8.42578125" style="276" customWidth="1"/>
    <col min="16127" max="16127" width="0" style="276" hidden="1" customWidth="1"/>
    <col min="16128" max="16128" width="9.140625" style="276"/>
    <col min="16129" max="16129" width="29.28515625" style="276" customWidth="1"/>
    <col min="16130" max="16130" width="8.140625" style="276" customWidth="1"/>
    <col min="16131" max="16131" width="14" style="276" customWidth="1"/>
    <col min="16132" max="16132" width="0" style="276" hidden="1" customWidth="1"/>
    <col min="16133" max="16133" width="22.5703125" style="276" customWidth="1"/>
    <col min="16134" max="16134" width="16.140625" style="276" customWidth="1"/>
    <col min="16135" max="16384" width="9.140625" style="276"/>
  </cols>
  <sheetData>
    <row r="3" spans="1:6">
      <c r="E3" s="276" t="s">
        <v>426</v>
      </c>
    </row>
    <row r="5" spans="1:6" ht="58.5" customHeight="1">
      <c r="A5" s="282" t="s">
        <v>427</v>
      </c>
      <c r="B5" s="283" t="s">
        <v>415</v>
      </c>
      <c r="C5" s="283" t="s">
        <v>428</v>
      </c>
      <c r="D5" s="283" t="s">
        <v>415</v>
      </c>
      <c r="E5" s="284" t="s">
        <v>416</v>
      </c>
      <c r="F5" s="283" t="s">
        <v>446</v>
      </c>
    </row>
    <row r="6" spans="1:6" ht="119.25" customHeight="1" thickBot="1">
      <c r="A6" s="285" t="s">
        <v>423</v>
      </c>
      <c r="B6" s="286">
        <v>2017</v>
      </c>
      <c r="C6" s="287" t="s">
        <v>445</v>
      </c>
      <c r="D6" s="288" t="s">
        <v>424</v>
      </c>
      <c r="E6" s="289" t="s">
        <v>425</v>
      </c>
      <c r="F6" s="335" t="s">
        <v>623</v>
      </c>
    </row>
    <row r="7" spans="1:6" ht="57.75" customHeight="1" thickBot="1">
      <c r="A7" s="287" t="s">
        <v>417</v>
      </c>
      <c r="B7" s="288">
        <v>2014</v>
      </c>
      <c r="C7" s="291" t="s">
        <v>418</v>
      </c>
      <c r="D7" s="292">
        <v>2016</v>
      </c>
      <c r="E7" s="289" t="s">
        <v>419</v>
      </c>
      <c r="F7" s="335" t="s">
        <v>624</v>
      </c>
    </row>
    <row r="8" spans="1:6" ht="45.75" thickBot="1">
      <c r="A8" s="285" t="s">
        <v>420</v>
      </c>
      <c r="B8" s="286">
        <v>2017</v>
      </c>
      <c r="C8" s="291" t="s">
        <v>421</v>
      </c>
      <c r="D8" s="286">
        <v>2022</v>
      </c>
      <c r="E8" s="289" t="s">
        <v>422</v>
      </c>
      <c r="F8" s="335" t="s">
        <v>625</v>
      </c>
    </row>
    <row r="9" spans="1:6" ht="121.5" customHeight="1">
      <c r="B9" s="276"/>
      <c r="D9" s="276"/>
    </row>
  </sheetData>
  <pageMargins left="0.51181102362204722" right="0.31496062992125984" top="0.74803149606299213" bottom="0.74803149606299213" header="0.31496062992125984" footer="0.31496062992125984"/>
  <pageSetup paperSize="9" scale="9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Z120"/>
  <sheetViews>
    <sheetView view="pageBreakPreview" zoomScale="70" zoomScaleNormal="70" zoomScaleSheetLayoutView="70" workbookViewId="0">
      <pane xSplit="2" ySplit="5" topLeftCell="C99" activePane="bottomRight" state="frozen"/>
      <selection pane="topRight" activeCell="C1" sqref="C1"/>
      <selection pane="bottomLeft" activeCell="A6" sqref="A6"/>
      <selection pane="bottomRight" activeCell="H110" sqref="H110"/>
    </sheetView>
  </sheetViews>
  <sheetFormatPr defaultRowHeight="15" outlineLevelCol="1"/>
  <cols>
    <col min="1" max="1" width="10.42578125" style="2" customWidth="1"/>
    <col min="2" max="2" width="29.42578125" style="2" customWidth="1"/>
    <col min="3" max="3" width="10.28515625" style="2" customWidth="1" outlineLevel="1"/>
    <col min="4" max="4" width="11" style="2" customWidth="1" outlineLevel="1"/>
    <col min="5" max="5" width="13.7109375" style="2" customWidth="1" outlineLevel="1"/>
    <col min="6" max="6" width="12" style="2" customWidth="1" outlineLevel="1"/>
    <col min="7" max="7" width="9.5703125" style="2" customWidth="1" outlineLevel="1"/>
    <col min="8" max="8" width="9.7109375" style="2" customWidth="1" outlineLevel="1"/>
    <col min="9" max="9" width="12.7109375" style="2" customWidth="1" outlineLevel="1"/>
    <col min="10" max="10" width="10.28515625" style="2" customWidth="1" outlineLevel="1"/>
    <col min="11" max="11" width="10.42578125" style="2" customWidth="1" outlineLevel="1"/>
    <col min="12" max="12" width="12.42578125" style="2" customWidth="1" outlineLevel="1"/>
    <col min="13" max="13" width="12" style="2" customWidth="1" outlineLevel="1"/>
    <col min="14" max="14" width="13.7109375" style="2" customWidth="1" outlineLevel="1"/>
    <col min="15" max="15" width="13" style="2" customWidth="1" outlineLevel="1"/>
    <col min="16" max="16" width="13.5703125" style="2" customWidth="1" outlineLevel="1"/>
    <col min="17" max="18" width="13.7109375" style="2" customWidth="1" outlineLevel="1"/>
    <col min="19" max="19" width="15.7109375" style="2" customWidth="1" outlineLevel="1"/>
    <col min="20" max="20" width="26.28515625" style="2" customWidth="1"/>
    <col min="21" max="21" width="75.5703125" style="2" customWidth="1"/>
    <col min="22" max="22" width="16.42578125" style="2" customWidth="1"/>
    <col min="23" max="23" width="12" style="2" customWidth="1"/>
    <col min="24" max="24" width="2.42578125" style="2" customWidth="1"/>
    <col min="25" max="25" width="9.140625" style="2"/>
    <col min="26" max="26" width="12.7109375" style="2" bestFit="1" customWidth="1"/>
    <col min="27" max="16384" width="9.140625" style="2"/>
  </cols>
  <sheetData>
    <row r="1" spans="1:26" s="1" customFormat="1">
      <c r="A1" s="426" t="s">
        <v>626</v>
      </c>
      <c r="B1" s="426"/>
      <c r="C1" s="426"/>
      <c r="D1" s="426"/>
      <c r="E1" s="426"/>
      <c r="F1" s="426"/>
      <c r="G1" s="426"/>
      <c r="H1" s="426"/>
      <c r="I1" s="426"/>
      <c r="J1" s="426"/>
      <c r="K1" s="426"/>
      <c r="L1" s="426"/>
      <c r="M1" s="426"/>
      <c r="N1" s="426"/>
      <c r="O1" s="426"/>
      <c r="P1" s="426"/>
      <c r="Q1" s="426"/>
      <c r="R1" s="426"/>
      <c r="S1" s="426"/>
      <c r="T1" s="426"/>
      <c r="U1" s="426"/>
      <c r="V1" s="426"/>
      <c r="W1" s="427"/>
    </row>
    <row r="2" spans="1:26" s="1" customFormat="1" ht="20.25" customHeight="1">
      <c r="A2" s="423" t="s">
        <v>0</v>
      </c>
      <c r="B2" s="423" t="s">
        <v>1</v>
      </c>
      <c r="C2" s="423" t="s">
        <v>2</v>
      </c>
      <c r="D2" s="423" t="s">
        <v>3</v>
      </c>
      <c r="E2" s="423"/>
      <c r="F2" s="423" t="s">
        <v>4</v>
      </c>
      <c r="G2" s="423" t="s">
        <v>5</v>
      </c>
      <c r="H2" s="423"/>
      <c r="I2" s="423" t="s">
        <v>6</v>
      </c>
      <c r="J2" s="423" t="s">
        <v>7</v>
      </c>
      <c r="K2" s="423"/>
      <c r="L2" s="423"/>
      <c r="M2" s="423"/>
      <c r="N2" s="423"/>
      <c r="O2" s="423"/>
      <c r="P2" s="423"/>
      <c r="Q2" s="423" t="s">
        <v>8</v>
      </c>
      <c r="R2" s="423" t="s">
        <v>9</v>
      </c>
      <c r="S2" s="423" t="s">
        <v>10</v>
      </c>
      <c r="T2" s="423" t="s">
        <v>11</v>
      </c>
      <c r="U2" s="423" t="s">
        <v>12</v>
      </c>
      <c r="V2" s="423" t="s">
        <v>13</v>
      </c>
      <c r="W2" s="423" t="s">
        <v>14</v>
      </c>
    </row>
    <row r="3" spans="1:26" s="1" customFormat="1" ht="15" customHeight="1">
      <c r="A3" s="423"/>
      <c r="B3" s="423"/>
      <c r="C3" s="423"/>
      <c r="D3" s="423" t="s">
        <v>15</v>
      </c>
      <c r="E3" s="423" t="s">
        <v>16</v>
      </c>
      <c r="F3" s="423"/>
      <c r="G3" s="423" t="s">
        <v>17</v>
      </c>
      <c r="H3" s="423" t="s">
        <v>18</v>
      </c>
      <c r="I3" s="423"/>
      <c r="J3" s="423" t="s">
        <v>17</v>
      </c>
      <c r="K3" s="423" t="s">
        <v>18</v>
      </c>
      <c r="L3" s="423" t="s">
        <v>19</v>
      </c>
      <c r="M3" s="423"/>
      <c r="N3" s="423"/>
      <c r="O3" s="423"/>
      <c r="P3" s="423"/>
      <c r="Q3" s="423"/>
      <c r="R3" s="423"/>
      <c r="S3" s="423"/>
      <c r="T3" s="423"/>
      <c r="U3" s="423"/>
      <c r="V3" s="423"/>
      <c r="W3" s="423"/>
    </row>
    <row r="4" spans="1:26" ht="81.75" customHeight="1">
      <c r="A4" s="423"/>
      <c r="B4" s="423"/>
      <c r="C4" s="423"/>
      <c r="D4" s="423"/>
      <c r="E4" s="423"/>
      <c r="F4" s="423"/>
      <c r="G4" s="423"/>
      <c r="H4" s="423"/>
      <c r="I4" s="423"/>
      <c r="J4" s="423"/>
      <c r="K4" s="423"/>
      <c r="L4" s="171" t="s">
        <v>20</v>
      </c>
      <c r="M4" s="171" t="s">
        <v>21</v>
      </c>
      <c r="N4" s="171" t="s">
        <v>22</v>
      </c>
      <c r="O4" s="171" t="s">
        <v>23</v>
      </c>
      <c r="P4" s="171" t="s">
        <v>24</v>
      </c>
      <c r="Q4" s="423"/>
      <c r="R4" s="423"/>
      <c r="S4" s="423"/>
      <c r="T4" s="423"/>
      <c r="U4" s="423"/>
      <c r="V4" s="423"/>
      <c r="W4" s="423"/>
    </row>
    <row r="5" spans="1:26">
      <c r="A5" s="171">
        <v>1</v>
      </c>
      <c r="B5" s="171">
        <v>2</v>
      </c>
      <c r="C5" s="171">
        <v>3</v>
      </c>
      <c r="D5" s="171">
        <v>4</v>
      </c>
      <c r="E5" s="171">
        <v>5</v>
      </c>
      <c r="F5" s="171">
        <v>6</v>
      </c>
      <c r="G5" s="171">
        <v>7</v>
      </c>
      <c r="H5" s="171">
        <v>7</v>
      </c>
      <c r="I5" s="171">
        <v>8</v>
      </c>
      <c r="J5" s="171">
        <v>9</v>
      </c>
      <c r="K5" s="171">
        <v>10</v>
      </c>
      <c r="L5" s="171">
        <v>11</v>
      </c>
      <c r="M5" s="171">
        <v>12</v>
      </c>
      <c r="N5" s="171">
        <v>13</v>
      </c>
      <c r="O5" s="171">
        <v>14</v>
      </c>
      <c r="P5" s="171">
        <v>15</v>
      </c>
      <c r="Q5" s="171">
        <v>16</v>
      </c>
      <c r="R5" s="171">
        <v>17</v>
      </c>
      <c r="S5" s="171">
        <v>18</v>
      </c>
      <c r="T5" s="171">
        <v>19</v>
      </c>
      <c r="U5" s="171">
        <v>20</v>
      </c>
      <c r="V5" s="171">
        <v>21</v>
      </c>
      <c r="W5" s="171">
        <v>22</v>
      </c>
    </row>
    <row r="6" spans="1:26" s="5" customFormat="1">
      <c r="A6" s="3">
        <v>1</v>
      </c>
      <c r="B6" s="4" t="s">
        <v>25</v>
      </c>
      <c r="C6" s="4"/>
      <c r="D6" s="4"/>
      <c r="E6" s="4">
        <f>E7+E8+E9+E10</f>
        <v>0</v>
      </c>
      <c r="F6" s="4"/>
      <c r="G6" s="4"/>
      <c r="H6" s="4"/>
      <c r="I6" s="4">
        <f>I7+I8+I9+I10</f>
        <v>0</v>
      </c>
      <c r="J6" s="4"/>
      <c r="K6" s="4"/>
      <c r="L6" s="4">
        <f t="shared" ref="L6:P6" si="0">L7+L8+L9+L10</f>
        <v>0</v>
      </c>
      <c r="M6" s="4">
        <f t="shared" si="0"/>
        <v>0</v>
      </c>
      <c r="N6" s="4">
        <f t="shared" si="0"/>
        <v>0</v>
      </c>
      <c r="O6" s="4">
        <f t="shared" si="0"/>
        <v>0</v>
      </c>
      <c r="P6" s="4">
        <f t="shared" si="0"/>
        <v>0</v>
      </c>
      <c r="Q6" s="4"/>
      <c r="R6" s="4"/>
      <c r="S6" s="4"/>
      <c r="T6" s="4"/>
      <c r="U6" s="4"/>
      <c r="V6" s="4"/>
      <c r="W6" s="4"/>
    </row>
    <row r="7" spans="1:26" s="10" customFormat="1" ht="28.5">
      <c r="A7" s="6" t="s">
        <v>26</v>
      </c>
      <c r="B7" s="7" t="s">
        <v>27</v>
      </c>
      <c r="C7" s="8"/>
      <c r="D7" s="8"/>
      <c r="E7" s="8"/>
      <c r="F7" s="8"/>
      <c r="G7" s="8"/>
      <c r="H7" s="8"/>
      <c r="I7" s="9"/>
      <c r="J7" s="8"/>
      <c r="K7" s="8"/>
      <c r="L7" s="9"/>
      <c r="M7" s="9"/>
      <c r="N7" s="9"/>
      <c r="O7" s="9"/>
      <c r="P7" s="9"/>
      <c r="Q7" s="8"/>
      <c r="R7" s="8"/>
      <c r="S7" s="8"/>
      <c r="T7" s="8"/>
      <c r="U7" s="8"/>
      <c r="V7" s="8"/>
      <c r="W7" s="8"/>
    </row>
    <row r="8" spans="1:26" s="10" customFormat="1" ht="28.5">
      <c r="A8" s="6" t="s">
        <v>28</v>
      </c>
      <c r="B8" s="7" t="s">
        <v>29</v>
      </c>
      <c r="C8" s="8"/>
      <c r="D8" s="8"/>
      <c r="E8" s="8"/>
      <c r="F8" s="8"/>
      <c r="G8" s="8"/>
      <c r="H8" s="8"/>
      <c r="I8" s="8"/>
      <c r="J8" s="8"/>
      <c r="K8" s="8"/>
      <c r="L8" s="8"/>
      <c r="M8" s="8"/>
      <c r="N8" s="8"/>
      <c r="O8" s="8"/>
      <c r="P8" s="8"/>
      <c r="Q8" s="8"/>
      <c r="R8" s="8"/>
      <c r="S8" s="8"/>
      <c r="T8" s="8"/>
      <c r="U8" s="11"/>
      <c r="V8" s="8"/>
      <c r="W8" s="8"/>
    </row>
    <row r="9" spans="1:26" s="10" customFormat="1" ht="42.75">
      <c r="A9" s="6" t="s">
        <v>30</v>
      </c>
      <c r="B9" s="7" t="s">
        <v>31</v>
      </c>
      <c r="C9" s="8"/>
      <c r="D9" s="8"/>
      <c r="E9" s="8"/>
      <c r="F9" s="8"/>
      <c r="G9" s="8"/>
      <c r="H9" s="8"/>
      <c r="I9" s="8"/>
      <c r="J9" s="8"/>
      <c r="K9" s="8"/>
      <c r="L9" s="8"/>
      <c r="M9" s="8"/>
      <c r="N9" s="8"/>
      <c r="O9" s="8"/>
      <c r="P9" s="8"/>
      <c r="Q9" s="8"/>
      <c r="R9" s="8"/>
      <c r="S9" s="8"/>
      <c r="T9" s="8"/>
      <c r="U9" s="8"/>
      <c r="V9" s="8"/>
      <c r="W9" s="8"/>
    </row>
    <row r="10" spans="1:26" s="10" customFormat="1" ht="42.75">
      <c r="A10" s="6" t="s">
        <v>32</v>
      </c>
      <c r="B10" s="7" t="s">
        <v>33</v>
      </c>
      <c r="C10" s="8"/>
      <c r="D10" s="8"/>
      <c r="E10" s="8">
        <f>E11</f>
        <v>0</v>
      </c>
      <c r="F10" s="8"/>
      <c r="G10" s="8"/>
      <c r="H10" s="8"/>
      <c r="I10" s="8">
        <f>I11</f>
        <v>0</v>
      </c>
      <c r="J10" s="8"/>
      <c r="K10" s="8"/>
      <c r="L10" s="8">
        <f t="shared" ref="L10:P10" si="1">L11</f>
        <v>0</v>
      </c>
      <c r="M10" s="8">
        <f t="shared" si="1"/>
        <v>0</v>
      </c>
      <c r="N10" s="8">
        <f t="shared" si="1"/>
        <v>0</v>
      </c>
      <c r="O10" s="8">
        <f t="shared" si="1"/>
        <v>0</v>
      </c>
      <c r="P10" s="8">
        <f t="shared" si="1"/>
        <v>0</v>
      </c>
      <c r="Q10" s="8"/>
      <c r="R10" s="8"/>
      <c r="S10" s="8"/>
      <c r="T10" s="8"/>
      <c r="U10" s="8"/>
      <c r="V10" s="8"/>
      <c r="W10" s="8"/>
    </row>
    <row r="11" spans="1:26">
      <c r="A11" s="171"/>
      <c r="B11" s="12"/>
      <c r="C11" s="13"/>
      <c r="D11" s="13"/>
      <c r="E11" s="14"/>
      <c r="F11" s="168"/>
      <c r="G11" s="168"/>
      <c r="H11" s="168"/>
      <c r="I11" s="168"/>
      <c r="J11" s="168"/>
      <c r="K11" s="168"/>
      <c r="L11" s="13"/>
      <c r="M11" s="15"/>
      <c r="N11" s="15"/>
      <c r="O11" s="13"/>
      <c r="P11" s="13"/>
      <c r="Q11" s="13"/>
      <c r="R11" s="16"/>
      <c r="S11" s="13"/>
      <c r="T11" s="17"/>
      <c r="U11" s="17"/>
      <c r="V11" s="18"/>
      <c r="W11" s="18"/>
    </row>
    <row r="12" spans="1:26">
      <c r="A12" s="169"/>
      <c r="B12" s="405" t="s">
        <v>36</v>
      </c>
      <c r="C12" s="405"/>
      <c r="D12" s="405"/>
      <c r="E12" s="19"/>
      <c r="F12" s="19"/>
      <c r="G12" s="19"/>
      <c r="H12" s="19"/>
      <c r="I12" s="20"/>
      <c r="J12" s="19"/>
      <c r="K12" s="19"/>
      <c r="L12" s="19"/>
      <c r="M12" s="19"/>
      <c r="N12" s="19"/>
      <c r="O12" s="19"/>
      <c r="P12" s="19"/>
      <c r="Q12" s="19"/>
      <c r="R12" s="16"/>
      <c r="S12" s="19"/>
      <c r="T12" s="19"/>
      <c r="U12" s="19"/>
      <c r="V12" s="19"/>
      <c r="W12" s="19"/>
    </row>
    <row r="13" spans="1:26" s="5" customFormat="1">
      <c r="A13" s="3" t="s">
        <v>37</v>
      </c>
      <c r="B13" s="4" t="s">
        <v>38</v>
      </c>
      <c r="C13" s="4"/>
      <c r="D13" s="4"/>
      <c r="E13" s="4">
        <f>E14+E21+E28+E32</f>
        <v>114745.7</v>
      </c>
      <c r="F13" s="4"/>
      <c r="G13" s="4"/>
      <c r="H13" s="4"/>
      <c r="I13" s="4">
        <f>I14+I21+I28+I32</f>
        <v>1877.27</v>
      </c>
      <c r="J13" s="4"/>
      <c r="K13" s="4"/>
      <c r="L13" s="4">
        <f>L14+L21+L28+L32</f>
        <v>5689.9</v>
      </c>
      <c r="M13" s="4">
        <f>M14+M21+M28+M32</f>
        <v>12431.9</v>
      </c>
      <c r="N13" s="4">
        <f>N14+N21+N28+N32</f>
        <v>27630.1</v>
      </c>
      <c r="O13" s="4">
        <f>O14+O21+O28+O32</f>
        <v>28994.799999999996</v>
      </c>
      <c r="P13" s="4">
        <f>P14+P21+P28+P32</f>
        <v>38121.729999999996</v>
      </c>
      <c r="Q13" s="4">
        <f>SUM(L13:P13)</f>
        <v>112868.42999999998</v>
      </c>
      <c r="R13" s="4"/>
      <c r="S13" s="4"/>
      <c r="T13" s="4"/>
      <c r="U13" s="4"/>
      <c r="V13" s="4"/>
      <c r="W13" s="4"/>
    </row>
    <row r="14" spans="1:26" s="10" customFormat="1">
      <c r="A14" s="6" t="s">
        <v>39</v>
      </c>
      <c r="B14" s="8" t="s">
        <v>27</v>
      </c>
      <c r="C14" s="8"/>
      <c r="D14" s="8">
        <f>SUM(D15:D19)</f>
        <v>3</v>
      </c>
      <c r="E14" s="8">
        <f>SUM(E15:E19)</f>
        <v>52291.479999999996</v>
      </c>
      <c r="F14" s="8"/>
      <c r="G14" s="8"/>
      <c r="H14" s="8"/>
      <c r="I14" s="9">
        <f>SUM(I15:I20)</f>
        <v>378</v>
      </c>
      <c r="J14" s="8"/>
      <c r="K14" s="8"/>
      <c r="L14" s="8">
        <f>SUM(L15:L19)</f>
        <v>0</v>
      </c>
      <c r="M14" s="8">
        <f>SUM(M15:M19)</f>
        <v>0</v>
      </c>
      <c r="N14" s="8">
        <f>SUM(N15:N19)</f>
        <v>7624.93</v>
      </c>
      <c r="O14" s="8">
        <f>SUM(O15:O19)</f>
        <v>17580.809999999998</v>
      </c>
      <c r="P14" s="8">
        <f>SUM(P15:P19)</f>
        <v>26707.739999999998</v>
      </c>
      <c r="Q14" s="8"/>
      <c r="R14" s="8"/>
      <c r="S14" s="8"/>
      <c r="T14" s="8"/>
      <c r="U14" s="8"/>
      <c r="V14" s="8"/>
      <c r="W14" s="8"/>
    </row>
    <row r="15" spans="1:26" ht="201" customHeight="1">
      <c r="A15" s="419" t="s">
        <v>40</v>
      </c>
      <c r="B15" s="424" t="s">
        <v>41</v>
      </c>
      <c r="C15" s="419">
        <v>1</v>
      </c>
      <c r="D15" s="419">
        <v>1</v>
      </c>
      <c r="E15" s="401">
        <f>I15+O15+P15+N15+M15+L15+I16</f>
        <v>13106.73</v>
      </c>
      <c r="F15" s="196" t="s">
        <v>34</v>
      </c>
      <c r="G15" s="21">
        <v>2016</v>
      </c>
      <c r="H15" s="21">
        <v>2016</v>
      </c>
      <c r="I15" s="13"/>
      <c r="J15" s="419">
        <v>2024</v>
      </c>
      <c r="K15" s="419">
        <v>2024</v>
      </c>
      <c r="L15" s="419"/>
      <c r="M15" s="419"/>
      <c r="N15" s="419"/>
      <c r="O15" s="419"/>
      <c r="P15" s="188">
        <f>3684+9242.73+54</f>
        <v>12980.73</v>
      </c>
      <c r="Q15" s="419"/>
      <c r="R15" s="419" t="s">
        <v>42</v>
      </c>
      <c r="S15" s="419" t="s">
        <v>43</v>
      </c>
      <c r="T15" s="419" t="s">
        <v>399</v>
      </c>
      <c r="U15" s="24" t="s">
        <v>44</v>
      </c>
      <c r="V15" s="421" t="s">
        <v>595</v>
      </c>
      <c r="W15" s="13"/>
      <c r="Z15" s="183"/>
    </row>
    <row r="16" spans="1:26" ht="54.75" customHeight="1">
      <c r="A16" s="420"/>
      <c r="B16" s="425"/>
      <c r="C16" s="420"/>
      <c r="D16" s="420"/>
      <c r="E16" s="402"/>
      <c r="F16" s="196" t="s">
        <v>408</v>
      </c>
      <c r="G16" s="21">
        <v>2020</v>
      </c>
      <c r="H16" s="21">
        <v>2020</v>
      </c>
      <c r="I16" s="21">
        <v>126</v>
      </c>
      <c r="J16" s="420"/>
      <c r="K16" s="420"/>
      <c r="L16" s="420"/>
      <c r="M16" s="420"/>
      <c r="N16" s="420"/>
      <c r="O16" s="420"/>
      <c r="P16" s="189"/>
      <c r="Q16" s="420"/>
      <c r="R16" s="420"/>
      <c r="S16" s="420"/>
      <c r="T16" s="420"/>
      <c r="U16" s="24" t="s">
        <v>408</v>
      </c>
      <c r="V16" s="422"/>
      <c r="W16" s="13"/>
    </row>
    <row r="17" spans="1:23" ht="107.25" customHeight="1">
      <c r="A17" s="401" t="s">
        <v>410</v>
      </c>
      <c r="B17" s="401" t="s">
        <v>45</v>
      </c>
      <c r="C17" s="401">
        <v>1</v>
      </c>
      <c r="D17" s="401">
        <v>1</v>
      </c>
      <c r="E17" s="401">
        <f>I17+O17+P17+N17+M17+L17+I18</f>
        <v>16132.37</v>
      </c>
      <c r="F17" s="196" t="s">
        <v>34</v>
      </c>
      <c r="G17" s="21">
        <v>2014</v>
      </c>
      <c r="H17" s="21">
        <v>2014</v>
      </c>
      <c r="I17" s="13"/>
      <c r="J17" s="21">
        <v>2022</v>
      </c>
      <c r="K17" s="21">
        <v>2023</v>
      </c>
      <c r="L17" s="22"/>
      <c r="M17" s="22"/>
      <c r="N17" s="22">
        <v>7624.93</v>
      </c>
      <c r="O17" s="22">
        <v>8381.44</v>
      </c>
      <c r="P17" s="13"/>
      <c r="Q17" s="13"/>
      <c r="R17" s="191" t="s">
        <v>42</v>
      </c>
      <c r="S17" s="190" t="s">
        <v>46</v>
      </c>
      <c r="T17" s="21" t="s">
        <v>400</v>
      </c>
      <c r="U17" s="401" t="s">
        <v>47</v>
      </c>
      <c r="V17" s="190" t="s">
        <v>628</v>
      </c>
      <c r="W17" s="13"/>
    </row>
    <row r="18" spans="1:23" ht="159" customHeight="1">
      <c r="A18" s="402"/>
      <c r="B18" s="402"/>
      <c r="C18" s="402"/>
      <c r="D18" s="402"/>
      <c r="E18" s="402"/>
      <c r="F18" s="196" t="s">
        <v>408</v>
      </c>
      <c r="G18" s="21">
        <v>2021</v>
      </c>
      <c r="H18" s="21">
        <v>2021</v>
      </c>
      <c r="I18" s="21">
        <v>126</v>
      </c>
      <c r="J18" s="190"/>
      <c r="K18" s="190"/>
      <c r="L18" s="193"/>
      <c r="M18" s="193"/>
      <c r="N18" s="193"/>
      <c r="O18" s="193"/>
      <c r="P18" s="182"/>
      <c r="Q18" s="13"/>
      <c r="R18" s="191"/>
      <c r="S18" s="190"/>
      <c r="T18" s="21"/>
      <c r="U18" s="402"/>
      <c r="V18" s="190"/>
      <c r="W18" s="13"/>
    </row>
    <row r="19" spans="1:23" ht="59.25" customHeight="1">
      <c r="A19" s="419" t="s">
        <v>486</v>
      </c>
      <c r="B19" s="408" t="s">
        <v>48</v>
      </c>
      <c r="C19" s="408">
        <v>1</v>
      </c>
      <c r="D19" s="408">
        <v>1</v>
      </c>
      <c r="E19" s="401">
        <f>I19+O19+P19+N19+M19+L19+I20</f>
        <v>23052.379999999997</v>
      </c>
      <c r="F19" s="196" t="s">
        <v>34</v>
      </c>
      <c r="G19" s="21">
        <v>2018</v>
      </c>
      <c r="H19" s="21">
        <v>2018</v>
      </c>
      <c r="I19" s="13"/>
      <c r="J19" s="406">
        <v>2023</v>
      </c>
      <c r="K19" s="406">
        <v>2024</v>
      </c>
      <c r="L19" s="408"/>
      <c r="M19" s="408"/>
      <c r="N19" s="408"/>
      <c r="O19" s="406">
        <f>11519.74-2320.37</f>
        <v>9199.369999999999</v>
      </c>
      <c r="P19" s="408">
        <f>13726.51+0.5</f>
        <v>13727.01</v>
      </c>
      <c r="Q19" s="13"/>
      <c r="R19" s="150" t="s">
        <v>49</v>
      </c>
      <c r="S19" s="21" t="s">
        <v>43</v>
      </c>
      <c r="T19" s="21" t="s">
        <v>401</v>
      </c>
      <c r="U19" s="24" t="s">
        <v>50</v>
      </c>
      <c r="V19" s="21" t="s">
        <v>629</v>
      </c>
      <c r="W19" s="13"/>
    </row>
    <row r="20" spans="1:23" ht="59.25" customHeight="1">
      <c r="A20" s="420"/>
      <c r="B20" s="409"/>
      <c r="C20" s="409"/>
      <c r="D20" s="409"/>
      <c r="E20" s="402"/>
      <c r="F20" s="196" t="s">
        <v>408</v>
      </c>
      <c r="G20" s="21">
        <v>2022</v>
      </c>
      <c r="H20" s="21">
        <v>2022</v>
      </c>
      <c r="I20" s="21">
        <v>126</v>
      </c>
      <c r="J20" s="407"/>
      <c r="K20" s="407"/>
      <c r="L20" s="409"/>
      <c r="M20" s="409"/>
      <c r="N20" s="409"/>
      <c r="O20" s="407"/>
      <c r="P20" s="409"/>
      <c r="Q20" s="13"/>
      <c r="R20" s="150"/>
      <c r="S20" s="21"/>
      <c r="T20" s="21"/>
      <c r="U20" s="24" t="s">
        <v>408</v>
      </c>
      <c r="V20" s="21"/>
      <c r="W20" s="13"/>
    </row>
    <row r="21" spans="1:23" s="10" customFormat="1">
      <c r="A21" s="6" t="s">
        <v>51</v>
      </c>
      <c r="B21" s="8" t="s">
        <v>29</v>
      </c>
      <c r="C21" s="8"/>
      <c r="D21" s="8">
        <f>SUM(D22:D27)</f>
        <v>6</v>
      </c>
      <c r="E21" s="8">
        <f>SUM(E22:E27)</f>
        <v>62454.22</v>
      </c>
      <c r="F21" s="8"/>
      <c r="G21" s="8"/>
      <c r="H21" s="8"/>
      <c r="I21" s="8">
        <f>SUM(I22:I27)</f>
        <v>1499.27</v>
      </c>
      <c r="J21" s="8"/>
      <c r="K21" s="8"/>
      <c r="L21" s="8">
        <f>SUM(L22:L27)</f>
        <v>5689.9</v>
      </c>
      <c r="M21" s="8">
        <f>SUM(M22:M27)</f>
        <v>12431.9</v>
      </c>
      <c r="N21" s="8">
        <f>SUM(N22:N27)</f>
        <v>20005.169999999998</v>
      </c>
      <c r="O21" s="8">
        <f>SUM(O22:O27)</f>
        <v>11413.99</v>
      </c>
      <c r="P21" s="8">
        <f>SUM(P22:P27)</f>
        <v>11413.99</v>
      </c>
      <c r="Q21" s="8"/>
      <c r="R21" s="8"/>
      <c r="S21" s="8"/>
      <c r="T21" s="8"/>
      <c r="U21" s="8"/>
      <c r="V21" s="8"/>
      <c r="W21" s="8"/>
    </row>
    <row r="22" spans="1:23" ht="93" customHeight="1">
      <c r="A22" s="187" t="s">
        <v>52</v>
      </c>
      <c r="B22" s="16" t="s">
        <v>441</v>
      </c>
      <c r="C22" s="14">
        <v>1</v>
      </c>
      <c r="D22" s="14">
        <v>1</v>
      </c>
      <c r="E22" s="14">
        <f>I22+O22+P22+N22+M22+L22</f>
        <v>5689.9</v>
      </c>
      <c r="F22" s="196" t="s">
        <v>34</v>
      </c>
      <c r="G22" s="21">
        <v>2016</v>
      </c>
      <c r="H22" s="21">
        <v>2016</v>
      </c>
      <c r="I22" s="13"/>
      <c r="J22" s="21">
        <v>2020</v>
      </c>
      <c r="K22" s="21">
        <v>2020</v>
      </c>
      <c r="L22" s="153">
        <v>5689.9</v>
      </c>
      <c r="M22" s="13"/>
      <c r="N22" s="13"/>
      <c r="O22" s="13"/>
      <c r="P22" s="13"/>
      <c r="Q22" s="14"/>
      <c r="R22" s="25" t="s">
        <v>42</v>
      </c>
      <c r="S22" s="21" t="s">
        <v>53</v>
      </c>
      <c r="T22" s="21" t="s">
        <v>35</v>
      </c>
      <c r="U22" s="24" t="s">
        <v>54</v>
      </c>
      <c r="V22" s="21" t="s">
        <v>630</v>
      </c>
      <c r="W22" s="13"/>
    </row>
    <row r="23" spans="1:23" ht="66" customHeight="1">
      <c r="A23" s="187" t="s">
        <v>508</v>
      </c>
      <c r="B23" s="16" t="s">
        <v>56</v>
      </c>
      <c r="C23" s="14">
        <v>1</v>
      </c>
      <c r="D23" s="14">
        <v>1</v>
      </c>
      <c r="E23" s="14">
        <f>I23+O23+P23+N23+M23+L23</f>
        <v>464.27</v>
      </c>
      <c r="F23" s="196" t="s">
        <v>57</v>
      </c>
      <c r="G23" s="21">
        <v>2024</v>
      </c>
      <c r="H23" s="21">
        <v>2024</v>
      </c>
      <c r="I23" s="14">
        <v>464.27</v>
      </c>
      <c r="J23" s="21"/>
      <c r="K23" s="21"/>
      <c r="L23" s="13"/>
      <c r="M23" s="13"/>
      <c r="N23" s="13"/>
      <c r="O23" s="14"/>
      <c r="P23" s="14"/>
      <c r="Q23" s="14">
        <v>4</v>
      </c>
      <c r="R23" s="25" t="s">
        <v>42</v>
      </c>
      <c r="S23" s="21" t="s">
        <v>58</v>
      </c>
      <c r="T23" s="21" t="s">
        <v>402</v>
      </c>
      <c r="U23" s="24" t="s">
        <v>59</v>
      </c>
      <c r="V23" s="21" t="s">
        <v>633</v>
      </c>
      <c r="W23" s="13"/>
    </row>
    <row r="24" spans="1:23" ht="88.5" customHeight="1">
      <c r="A24" s="187" t="s">
        <v>55</v>
      </c>
      <c r="B24" s="16" t="s">
        <v>61</v>
      </c>
      <c r="C24" s="14">
        <v>1</v>
      </c>
      <c r="D24" s="14">
        <v>1</v>
      </c>
      <c r="E24" s="14">
        <f>I24+O24+P24+N24+M24+L24</f>
        <v>345</v>
      </c>
      <c r="F24" s="196" t="s">
        <v>57</v>
      </c>
      <c r="G24" s="21">
        <v>2024</v>
      </c>
      <c r="H24" s="21">
        <v>2024</v>
      </c>
      <c r="I24" s="14">
        <v>345</v>
      </c>
      <c r="J24" s="21"/>
      <c r="K24" s="21"/>
      <c r="L24" s="13"/>
      <c r="M24" s="13"/>
      <c r="N24" s="27"/>
      <c r="O24" s="13"/>
      <c r="P24" s="14"/>
      <c r="Q24" s="13"/>
      <c r="R24" s="25" t="s">
        <v>42</v>
      </c>
      <c r="S24" s="21" t="s">
        <v>62</v>
      </c>
      <c r="T24" s="21" t="s">
        <v>403</v>
      </c>
      <c r="U24" s="24" t="s">
        <v>63</v>
      </c>
      <c r="V24" s="21" t="s">
        <v>634</v>
      </c>
      <c r="W24" s="13"/>
    </row>
    <row r="25" spans="1:23" ht="119.25" customHeight="1">
      <c r="A25" s="187" t="s">
        <v>513</v>
      </c>
      <c r="B25" s="16" t="s">
        <v>65</v>
      </c>
      <c r="C25" s="14">
        <v>1</v>
      </c>
      <c r="D25" s="14">
        <v>1</v>
      </c>
      <c r="E25" s="14">
        <f t="shared" ref="E25" si="2">I25+O25+P25+N25+M25+L25</f>
        <v>12431.9</v>
      </c>
      <c r="F25" s="21" t="s">
        <v>34</v>
      </c>
      <c r="G25" s="21">
        <v>2018</v>
      </c>
      <c r="H25" s="21">
        <v>2018</v>
      </c>
      <c r="I25" s="14"/>
      <c r="J25" s="21">
        <v>2021</v>
      </c>
      <c r="K25" s="21">
        <v>2021</v>
      </c>
      <c r="L25" s="14"/>
      <c r="M25" s="14">
        <v>12431.9</v>
      </c>
      <c r="N25" s="14"/>
      <c r="O25" s="13"/>
      <c r="P25" s="14"/>
      <c r="Q25" s="13"/>
      <c r="R25" s="25" t="s">
        <v>42</v>
      </c>
      <c r="S25" s="21" t="s">
        <v>66</v>
      </c>
      <c r="T25" s="21" t="s">
        <v>404</v>
      </c>
      <c r="U25" s="24" t="s">
        <v>413</v>
      </c>
      <c r="V25" s="21" t="s">
        <v>636</v>
      </c>
      <c r="W25" s="13"/>
    </row>
    <row r="26" spans="1:23" ht="278.25" customHeight="1">
      <c r="A26" s="187" t="s">
        <v>517</v>
      </c>
      <c r="B26" s="16" t="s">
        <v>68</v>
      </c>
      <c r="C26" s="14">
        <v>1</v>
      </c>
      <c r="D26" s="14">
        <v>1</v>
      </c>
      <c r="E26" s="165">
        <f>I26+O26+P26+N26+M26+L26</f>
        <v>23172.98</v>
      </c>
      <c r="F26" s="21" t="s">
        <v>57</v>
      </c>
      <c r="G26" s="21">
        <v>2022</v>
      </c>
      <c r="H26" s="21">
        <v>2022</v>
      </c>
      <c r="I26" s="14">
        <v>345</v>
      </c>
      <c r="J26" s="21">
        <v>2023</v>
      </c>
      <c r="K26" s="21">
        <v>2024</v>
      </c>
      <c r="L26" s="13"/>
      <c r="M26" s="13"/>
      <c r="N26" s="14"/>
      <c r="O26" s="165">
        <v>11413.99</v>
      </c>
      <c r="P26" s="165">
        <v>11413.99</v>
      </c>
      <c r="Q26" s="13"/>
      <c r="R26" s="25" t="s">
        <v>42</v>
      </c>
      <c r="S26" s="21" t="s">
        <v>69</v>
      </c>
      <c r="T26" s="21" t="s">
        <v>405</v>
      </c>
      <c r="U26" s="24" t="s">
        <v>70</v>
      </c>
      <c r="V26" s="21" t="s">
        <v>637</v>
      </c>
      <c r="W26" s="13"/>
    </row>
    <row r="27" spans="1:23" ht="245.25" customHeight="1">
      <c r="A27" s="187" t="s">
        <v>60</v>
      </c>
      <c r="B27" s="16" t="s">
        <v>71</v>
      </c>
      <c r="C27" s="14">
        <v>1</v>
      </c>
      <c r="D27" s="14">
        <v>1</v>
      </c>
      <c r="E27" s="14">
        <f>I27+O27+P27+N27+M27+L27</f>
        <v>20350.169999999998</v>
      </c>
      <c r="F27" s="21" t="s">
        <v>57</v>
      </c>
      <c r="G27" s="21">
        <v>2021</v>
      </c>
      <c r="H27" s="21">
        <v>2021</v>
      </c>
      <c r="I27" s="14">
        <v>345</v>
      </c>
      <c r="J27" s="21">
        <v>2022</v>
      </c>
      <c r="K27" s="21">
        <v>2022</v>
      </c>
      <c r="L27" s="13"/>
      <c r="M27" s="13"/>
      <c r="N27" s="14">
        <f>11414+11341.17-2750</f>
        <v>20005.169999999998</v>
      </c>
      <c r="O27" s="14"/>
      <c r="P27" s="14"/>
      <c r="Q27" s="13"/>
      <c r="R27" s="25" t="s">
        <v>42</v>
      </c>
      <c r="S27" s="21" t="s">
        <v>69</v>
      </c>
      <c r="T27" s="21" t="s">
        <v>406</v>
      </c>
      <c r="U27" s="24" t="s">
        <v>414</v>
      </c>
      <c r="V27" s="21" t="s">
        <v>638</v>
      </c>
      <c r="W27" s="13"/>
    </row>
    <row r="28" spans="1:23" s="10" customFormat="1">
      <c r="A28" s="6" t="s">
        <v>72</v>
      </c>
      <c r="B28" s="8" t="s">
        <v>31</v>
      </c>
      <c r="C28" s="8"/>
      <c r="D28" s="8"/>
      <c r="E28" s="8"/>
      <c r="F28" s="8"/>
      <c r="G28" s="8"/>
      <c r="H28" s="8"/>
      <c r="I28" s="8"/>
      <c r="J28" s="8"/>
      <c r="K28" s="8"/>
      <c r="L28" s="8"/>
      <c r="M28" s="8"/>
      <c r="N28" s="8"/>
      <c r="O28" s="8"/>
      <c r="P28" s="8"/>
      <c r="Q28" s="8"/>
      <c r="R28" s="8"/>
      <c r="S28" s="8"/>
      <c r="T28" s="8"/>
      <c r="U28" s="8"/>
      <c r="V28" s="8"/>
      <c r="W28" s="8"/>
    </row>
    <row r="29" spans="1:23">
      <c r="A29" s="171" t="s">
        <v>73</v>
      </c>
      <c r="B29" s="167"/>
      <c r="C29" s="13"/>
      <c r="D29" s="13"/>
      <c r="E29" s="13"/>
      <c r="F29" s="13"/>
      <c r="G29" s="13"/>
      <c r="H29" s="13"/>
      <c r="I29" s="13"/>
      <c r="J29" s="13"/>
      <c r="K29" s="13"/>
      <c r="L29" s="13"/>
      <c r="M29" s="13"/>
      <c r="N29" s="13"/>
      <c r="O29" s="13"/>
      <c r="P29" s="13"/>
      <c r="Q29" s="13"/>
      <c r="R29" s="13"/>
      <c r="S29" s="13"/>
      <c r="T29" s="13"/>
      <c r="U29" s="13"/>
      <c r="V29" s="13"/>
      <c r="W29" s="13"/>
    </row>
    <row r="30" spans="1:23">
      <c r="A30" s="171" t="s">
        <v>74</v>
      </c>
      <c r="B30" s="167"/>
      <c r="C30" s="13"/>
      <c r="D30" s="13"/>
      <c r="E30" s="13"/>
      <c r="F30" s="13"/>
      <c r="G30" s="13"/>
      <c r="H30" s="13"/>
      <c r="I30" s="13"/>
      <c r="J30" s="13"/>
      <c r="K30" s="13"/>
      <c r="L30" s="13"/>
      <c r="M30" s="13"/>
      <c r="N30" s="13"/>
      <c r="O30" s="13"/>
      <c r="P30" s="13"/>
      <c r="Q30" s="13"/>
      <c r="R30" s="13"/>
      <c r="S30" s="13"/>
      <c r="T30" s="13"/>
      <c r="U30" s="13"/>
      <c r="V30" s="13"/>
      <c r="W30" s="13"/>
    </row>
    <row r="31" spans="1:23">
      <c r="A31" s="171" t="s">
        <v>75</v>
      </c>
      <c r="B31" s="167"/>
      <c r="C31" s="13"/>
      <c r="D31" s="13"/>
      <c r="E31" s="13"/>
      <c r="F31" s="13"/>
      <c r="G31" s="13"/>
      <c r="H31" s="13"/>
      <c r="I31" s="13"/>
      <c r="J31" s="13"/>
      <c r="K31" s="13"/>
      <c r="L31" s="13"/>
      <c r="M31" s="13"/>
      <c r="N31" s="13"/>
      <c r="O31" s="13"/>
      <c r="P31" s="13"/>
      <c r="Q31" s="13"/>
      <c r="R31" s="13"/>
      <c r="S31" s="13"/>
      <c r="T31" s="13"/>
      <c r="U31" s="13"/>
      <c r="V31" s="13"/>
      <c r="W31" s="13"/>
    </row>
    <row r="32" spans="1:23" s="10" customFormat="1">
      <c r="A32" s="6" t="s">
        <v>76</v>
      </c>
      <c r="B32" s="8" t="s">
        <v>33</v>
      </c>
      <c r="C32" s="8"/>
      <c r="D32" s="8"/>
      <c r="E32" s="8"/>
      <c r="F32" s="8"/>
      <c r="G32" s="8"/>
      <c r="H32" s="8"/>
      <c r="I32" s="8"/>
      <c r="J32" s="8"/>
      <c r="K32" s="8"/>
      <c r="L32" s="8"/>
      <c r="M32" s="8"/>
      <c r="N32" s="8"/>
      <c r="O32" s="8"/>
      <c r="P32" s="8"/>
      <c r="Q32" s="8"/>
      <c r="R32" s="8"/>
      <c r="S32" s="8"/>
      <c r="T32" s="8"/>
      <c r="U32" s="8"/>
      <c r="V32" s="8"/>
      <c r="W32" s="8"/>
    </row>
    <row r="33" spans="1:23">
      <c r="A33" s="169"/>
      <c r="B33" s="405" t="s">
        <v>77</v>
      </c>
      <c r="C33" s="405"/>
      <c r="D33" s="405"/>
      <c r="E33" s="19"/>
      <c r="F33" s="19"/>
      <c r="G33" s="19"/>
      <c r="H33" s="19"/>
      <c r="I33" s="19"/>
      <c r="J33" s="19"/>
      <c r="K33" s="19"/>
      <c r="L33" s="19"/>
      <c r="M33" s="19"/>
      <c r="N33" s="19"/>
      <c r="O33" s="19"/>
      <c r="P33" s="19"/>
      <c r="Q33" s="19"/>
      <c r="R33" s="19"/>
      <c r="S33" s="18"/>
      <c r="T33" s="18"/>
      <c r="U33" s="19"/>
      <c r="V33" s="19"/>
      <c r="W33" s="19"/>
    </row>
    <row r="34" spans="1:23">
      <c r="A34" s="169"/>
      <c r="B34" s="405" t="s">
        <v>78</v>
      </c>
      <c r="C34" s="405"/>
      <c r="D34" s="405"/>
      <c r="E34" s="19"/>
      <c r="F34" s="19"/>
      <c r="G34" s="19"/>
      <c r="H34" s="19"/>
      <c r="I34" s="19"/>
      <c r="J34" s="19"/>
      <c r="K34" s="19"/>
      <c r="L34" s="19"/>
      <c r="M34" s="19"/>
      <c r="N34" s="19"/>
      <c r="O34" s="19"/>
      <c r="P34" s="19"/>
      <c r="Q34" s="19"/>
      <c r="R34" s="19"/>
      <c r="S34" s="19"/>
      <c r="T34" s="19"/>
      <c r="U34" s="19"/>
      <c r="V34" s="19"/>
      <c r="W34" s="19"/>
    </row>
    <row r="35" spans="1:23" s="5" customFormat="1">
      <c r="A35" s="3" t="s">
        <v>79</v>
      </c>
      <c r="B35" s="29" t="s">
        <v>80</v>
      </c>
      <c r="C35" s="29"/>
      <c r="D35" s="29"/>
      <c r="E35" s="29"/>
      <c r="F35" s="29"/>
      <c r="G35" s="29"/>
      <c r="H35" s="29"/>
      <c r="I35" s="29"/>
      <c r="J35" s="29"/>
      <c r="K35" s="29"/>
      <c r="L35" s="29"/>
      <c r="M35" s="29"/>
      <c r="N35" s="29"/>
      <c r="O35" s="29"/>
      <c r="P35" s="29"/>
      <c r="Q35" s="29"/>
      <c r="R35" s="29"/>
      <c r="S35" s="29"/>
      <c r="T35" s="30"/>
      <c r="U35" s="29"/>
      <c r="V35" s="30"/>
      <c r="W35" s="29"/>
    </row>
    <row r="36" spans="1:23" ht="15" customHeight="1">
      <c r="A36" s="187" t="s">
        <v>81</v>
      </c>
      <c r="B36" s="410" t="s">
        <v>82</v>
      </c>
      <c r="C36" s="410"/>
      <c r="D36" s="410"/>
      <c r="E36" s="14">
        <f t="shared" ref="E36:E47" si="3">I36+O36+P36+N36+M36+L36</f>
        <v>0</v>
      </c>
      <c r="F36" s="195"/>
      <c r="G36" s="195"/>
      <c r="H36" s="195"/>
      <c r="I36" s="195"/>
      <c r="J36" s="195"/>
      <c r="K36" s="195"/>
      <c r="L36" s="195"/>
      <c r="M36" s="195"/>
      <c r="N36" s="195"/>
      <c r="O36" s="195"/>
      <c r="P36" s="195"/>
      <c r="Q36" s="195"/>
      <c r="R36" s="404" t="s">
        <v>83</v>
      </c>
      <c r="S36" s="418" t="s">
        <v>46</v>
      </c>
      <c r="T36" s="404" t="s">
        <v>84</v>
      </c>
      <c r="U36" s="192"/>
      <c r="V36" s="413" t="s">
        <v>600</v>
      </c>
      <c r="W36" s="194"/>
    </row>
    <row r="37" spans="1:23">
      <c r="A37" s="187" t="s">
        <v>86</v>
      </c>
      <c r="B37" s="31" t="s">
        <v>87</v>
      </c>
      <c r="C37" s="26">
        <v>0.43</v>
      </c>
      <c r="D37" s="26">
        <v>0.43</v>
      </c>
      <c r="E37" s="14">
        <f t="shared" si="3"/>
        <v>307.34000000000003</v>
      </c>
      <c r="F37" s="32" t="s">
        <v>57</v>
      </c>
      <c r="G37" s="33">
        <v>2020</v>
      </c>
      <c r="H37" s="33">
        <v>2020</v>
      </c>
      <c r="I37" s="32">
        <v>113.84</v>
      </c>
      <c r="J37" s="33">
        <v>2023</v>
      </c>
      <c r="K37" s="33">
        <v>2023</v>
      </c>
      <c r="L37" s="32"/>
      <c r="M37" s="23"/>
      <c r="N37" s="187"/>
      <c r="O37" s="32">
        <v>193.5</v>
      </c>
      <c r="P37" s="32"/>
      <c r="Q37" s="195"/>
      <c r="R37" s="404"/>
      <c r="S37" s="418"/>
      <c r="T37" s="404"/>
      <c r="U37" s="34" t="s">
        <v>88</v>
      </c>
      <c r="V37" s="413"/>
      <c r="W37" s="194"/>
    </row>
    <row r="38" spans="1:23">
      <c r="A38" s="187" t="s">
        <v>89</v>
      </c>
      <c r="B38" s="31" t="s">
        <v>90</v>
      </c>
      <c r="C38" s="26">
        <v>0.05</v>
      </c>
      <c r="D38" s="26">
        <v>0.05</v>
      </c>
      <c r="E38" s="14">
        <f t="shared" si="3"/>
        <v>90</v>
      </c>
      <c r="F38" s="32" t="s">
        <v>57</v>
      </c>
      <c r="G38" s="33">
        <v>2021</v>
      </c>
      <c r="H38" s="33">
        <v>2023</v>
      </c>
      <c r="I38" s="23">
        <v>90</v>
      </c>
      <c r="J38" s="33">
        <v>2023</v>
      </c>
      <c r="K38" s="33">
        <v>2023</v>
      </c>
      <c r="L38" s="32"/>
      <c r="M38" s="32"/>
      <c r="N38" s="32"/>
      <c r="O38" s="32"/>
      <c r="P38" s="23"/>
      <c r="Q38" s="195"/>
      <c r="R38" s="404"/>
      <c r="S38" s="418"/>
      <c r="T38" s="404"/>
      <c r="U38" s="34" t="s">
        <v>91</v>
      </c>
      <c r="V38" s="413"/>
      <c r="W38" s="194"/>
    </row>
    <row r="39" spans="1:23">
      <c r="A39" s="187" t="s">
        <v>92</v>
      </c>
      <c r="B39" s="410" t="s">
        <v>93</v>
      </c>
      <c r="C39" s="410"/>
      <c r="D39" s="410"/>
      <c r="E39" s="14">
        <f t="shared" si="3"/>
        <v>0</v>
      </c>
      <c r="F39" s="195"/>
      <c r="G39" s="35"/>
      <c r="H39" s="33"/>
      <c r="I39" s="32"/>
      <c r="J39" s="32"/>
      <c r="K39" s="32"/>
      <c r="L39" s="32"/>
      <c r="M39" s="32"/>
      <c r="N39" s="32"/>
      <c r="O39" s="32"/>
      <c r="P39" s="32"/>
      <c r="Q39" s="195"/>
      <c r="R39" s="404"/>
      <c r="S39" s="418"/>
      <c r="T39" s="404"/>
      <c r="U39" s="192"/>
      <c r="V39" s="413"/>
      <c r="W39" s="194"/>
    </row>
    <row r="40" spans="1:23" ht="30">
      <c r="A40" s="187" t="s">
        <v>94</v>
      </c>
      <c r="B40" s="31" t="s">
        <v>95</v>
      </c>
      <c r="C40" s="26">
        <v>2</v>
      </c>
      <c r="D40" s="26">
        <v>2</v>
      </c>
      <c r="E40" s="14">
        <f t="shared" si="3"/>
        <v>1611.4099999999999</v>
      </c>
      <c r="F40" s="32" t="s">
        <v>57</v>
      </c>
      <c r="G40" s="36">
        <v>2020</v>
      </c>
      <c r="H40" s="36">
        <v>2020</v>
      </c>
      <c r="I40" s="32">
        <v>136.41</v>
      </c>
      <c r="J40" s="33">
        <v>2021</v>
      </c>
      <c r="K40" s="33">
        <v>2023</v>
      </c>
      <c r="L40" s="32"/>
      <c r="M40" s="32">
        <v>811</v>
      </c>
      <c r="N40" s="32"/>
      <c r="O40" s="32">
        <v>664</v>
      </c>
      <c r="P40" s="32"/>
      <c r="Q40" s="195"/>
      <c r="R40" s="404"/>
      <c r="S40" s="418"/>
      <c r="T40" s="404"/>
      <c r="U40" s="37" t="s">
        <v>96</v>
      </c>
      <c r="V40" s="413"/>
      <c r="W40" s="194"/>
    </row>
    <row r="41" spans="1:23" s="40" customFormat="1">
      <c r="A41" s="187" t="s">
        <v>97</v>
      </c>
      <c r="B41" s="38" t="s">
        <v>98</v>
      </c>
      <c r="C41" s="192"/>
      <c r="D41" s="192"/>
      <c r="E41" s="39">
        <f t="shared" si="3"/>
        <v>0</v>
      </c>
      <c r="F41" s="195"/>
      <c r="G41" s="35"/>
      <c r="H41" s="33"/>
      <c r="I41" s="32"/>
      <c r="J41" s="32"/>
      <c r="K41" s="32"/>
      <c r="L41" s="32"/>
      <c r="M41" s="32"/>
      <c r="N41" s="32"/>
      <c r="O41" s="32"/>
      <c r="P41" s="32"/>
      <c r="Q41" s="195"/>
      <c r="R41" s="404"/>
      <c r="S41" s="418"/>
      <c r="T41" s="404"/>
      <c r="U41" s="192"/>
      <c r="V41" s="413"/>
      <c r="W41" s="194"/>
    </row>
    <row r="42" spans="1:23" ht="30">
      <c r="A42" s="187" t="s">
        <v>99</v>
      </c>
      <c r="B42" s="31" t="s">
        <v>95</v>
      </c>
      <c r="C42" s="26">
        <v>1</v>
      </c>
      <c r="D42" s="26">
        <v>1</v>
      </c>
      <c r="E42" s="14">
        <f t="shared" si="3"/>
        <v>1399.28</v>
      </c>
      <c r="F42" s="32" t="s">
        <v>57</v>
      </c>
      <c r="G42" s="33">
        <v>2020</v>
      </c>
      <c r="H42" s="33">
        <v>2020</v>
      </c>
      <c r="I42" s="32">
        <v>199.28</v>
      </c>
      <c r="J42" s="33">
        <v>2021</v>
      </c>
      <c r="K42" s="33">
        <v>2021</v>
      </c>
      <c r="L42" s="32"/>
      <c r="M42" s="32">
        <v>1200</v>
      </c>
      <c r="N42" s="32"/>
      <c r="O42" s="32"/>
      <c r="P42" s="32"/>
      <c r="Q42" s="195"/>
      <c r="R42" s="404"/>
      <c r="S42" s="418"/>
      <c r="T42" s="404"/>
      <c r="U42" s="41" t="s">
        <v>100</v>
      </c>
      <c r="V42" s="413"/>
      <c r="W42" s="194"/>
    </row>
    <row r="43" spans="1:23">
      <c r="A43" s="187" t="s">
        <v>101</v>
      </c>
      <c r="B43" s="31" t="s">
        <v>102</v>
      </c>
      <c r="C43" s="26">
        <v>0.8</v>
      </c>
      <c r="D43" s="26">
        <v>0.8</v>
      </c>
      <c r="E43" s="14">
        <f t="shared" si="3"/>
        <v>2620</v>
      </c>
      <c r="F43" s="32" t="s">
        <v>57</v>
      </c>
      <c r="G43" s="33">
        <v>2022</v>
      </c>
      <c r="H43" s="33">
        <v>2022</v>
      </c>
      <c r="I43" s="42">
        <v>140</v>
      </c>
      <c r="J43" s="33">
        <v>2021</v>
      </c>
      <c r="K43" s="33">
        <v>2021</v>
      </c>
      <c r="L43" s="32"/>
      <c r="M43" s="32">
        <v>2480</v>
      </c>
      <c r="N43" s="32"/>
      <c r="O43" s="32"/>
      <c r="P43" s="32"/>
      <c r="Q43" s="195"/>
      <c r="R43" s="404"/>
      <c r="S43" s="418"/>
      <c r="T43" s="404"/>
      <c r="U43" s="37" t="s">
        <v>103</v>
      </c>
      <c r="V43" s="413"/>
      <c r="W43" s="194"/>
    </row>
    <row r="44" spans="1:23" s="40" customFormat="1">
      <c r="A44" s="187" t="s">
        <v>104</v>
      </c>
      <c r="B44" s="38" t="s">
        <v>105</v>
      </c>
      <c r="C44" s="192"/>
      <c r="D44" s="192"/>
      <c r="E44" s="39">
        <f t="shared" si="3"/>
        <v>0</v>
      </c>
      <c r="F44" s="195"/>
      <c r="G44" s="35"/>
      <c r="H44" s="33"/>
      <c r="I44" s="32"/>
      <c r="J44" s="32"/>
      <c r="K44" s="32"/>
      <c r="L44" s="32"/>
      <c r="M44" s="32"/>
      <c r="N44" s="32"/>
      <c r="O44" s="32"/>
      <c r="P44" s="32"/>
      <c r="Q44" s="195"/>
      <c r="R44" s="404"/>
      <c r="S44" s="418"/>
      <c r="T44" s="404"/>
      <c r="U44" s="192"/>
      <c r="V44" s="413"/>
      <c r="W44" s="194"/>
    </row>
    <row r="45" spans="1:23" ht="30">
      <c r="A45" s="187" t="s">
        <v>106</v>
      </c>
      <c r="B45" s="31" t="s">
        <v>95</v>
      </c>
      <c r="C45" s="26">
        <v>1</v>
      </c>
      <c r="D45" s="26">
        <v>1</v>
      </c>
      <c r="E45" s="14">
        <f t="shared" si="3"/>
        <v>260</v>
      </c>
      <c r="F45" s="32" t="s">
        <v>57</v>
      </c>
      <c r="G45" s="33">
        <v>2023</v>
      </c>
      <c r="H45" s="33">
        <v>2023</v>
      </c>
      <c r="I45" s="32">
        <v>30</v>
      </c>
      <c r="J45" s="36">
        <v>2024</v>
      </c>
      <c r="K45" s="36">
        <v>2024</v>
      </c>
      <c r="L45" s="32"/>
      <c r="M45" s="32"/>
      <c r="N45" s="32"/>
      <c r="O45" s="32"/>
      <c r="P45" s="32">
        <v>230</v>
      </c>
      <c r="Q45" s="195"/>
      <c r="R45" s="404"/>
      <c r="S45" s="418"/>
      <c r="T45" s="404"/>
      <c r="U45" s="41" t="s">
        <v>107</v>
      </c>
      <c r="V45" s="413"/>
      <c r="W45" s="194"/>
    </row>
    <row r="46" spans="1:23" s="40" customFormat="1">
      <c r="A46" s="187" t="s">
        <v>108</v>
      </c>
      <c r="B46" s="38" t="s">
        <v>109</v>
      </c>
      <c r="C46" s="192"/>
      <c r="D46" s="192"/>
      <c r="E46" s="39">
        <f t="shared" si="3"/>
        <v>0</v>
      </c>
      <c r="F46" s="195"/>
      <c r="G46" s="35"/>
      <c r="H46" s="33"/>
      <c r="I46" s="32"/>
      <c r="J46" s="32"/>
      <c r="K46" s="32"/>
      <c r="L46" s="32"/>
      <c r="M46" s="32"/>
      <c r="N46" s="32"/>
      <c r="O46" s="32"/>
      <c r="P46" s="32"/>
      <c r="Q46" s="195"/>
      <c r="R46" s="404"/>
      <c r="S46" s="418"/>
      <c r="T46" s="404"/>
      <c r="U46" s="192"/>
      <c r="V46" s="413"/>
      <c r="W46" s="194"/>
    </row>
    <row r="47" spans="1:23" ht="30">
      <c r="A47" s="187" t="s">
        <v>110</v>
      </c>
      <c r="B47" s="31" t="s">
        <v>95</v>
      </c>
      <c r="C47" s="26">
        <v>2</v>
      </c>
      <c r="D47" s="26">
        <v>2</v>
      </c>
      <c r="E47" s="14">
        <f t="shared" si="3"/>
        <v>1257.43</v>
      </c>
      <c r="F47" s="32" t="s">
        <v>57</v>
      </c>
      <c r="G47" s="33">
        <v>2020</v>
      </c>
      <c r="H47" s="33">
        <v>2020</v>
      </c>
      <c r="I47" s="32">
        <v>157.43</v>
      </c>
      <c r="J47" s="33">
        <v>2021</v>
      </c>
      <c r="K47" s="33">
        <v>2021</v>
      </c>
      <c r="L47" s="32"/>
      <c r="M47" s="32">
        <v>1100</v>
      </c>
      <c r="N47" s="32"/>
      <c r="O47" s="32"/>
      <c r="P47" s="32"/>
      <c r="Q47" s="195"/>
      <c r="R47" s="404"/>
      <c r="S47" s="418"/>
      <c r="T47" s="404"/>
      <c r="U47" s="41" t="s">
        <v>111</v>
      </c>
      <c r="V47" s="413"/>
      <c r="W47" s="194"/>
    </row>
    <row r="48" spans="1:23" s="5" customFormat="1">
      <c r="A48" s="3" t="s">
        <v>112</v>
      </c>
      <c r="B48" s="43" t="s">
        <v>113</v>
      </c>
      <c r="C48" s="43"/>
      <c r="D48" s="43"/>
      <c r="E48" s="44"/>
      <c r="F48" s="44"/>
      <c r="G48" s="44"/>
      <c r="H48" s="44"/>
      <c r="I48" s="44"/>
      <c r="J48" s="44"/>
      <c r="K48" s="44"/>
      <c r="L48" s="44"/>
      <c r="M48" s="44"/>
      <c r="N48" s="44"/>
      <c r="O48" s="44"/>
      <c r="P48" s="44"/>
      <c r="Q48" s="44"/>
      <c r="R48" s="44"/>
      <c r="S48" s="44"/>
      <c r="T48" s="30"/>
      <c r="U48" s="43"/>
      <c r="V48" s="30"/>
      <c r="W48" s="3"/>
    </row>
    <row r="49" spans="1:23" ht="15" customHeight="1">
      <c r="A49" s="171" t="s">
        <v>114</v>
      </c>
      <c r="B49" s="410" t="s">
        <v>82</v>
      </c>
      <c r="C49" s="410"/>
      <c r="D49" s="410"/>
      <c r="E49" s="170"/>
      <c r="F49" s="170"/>
      <c r="G49" s="170"/>
      <c r="H49" s="170"/>
      <c r="I49" s="170"/>
      <c r="J49" s="170"/>
      <c r="K49" s="170"/>
      <c r="L49" s="170"/>
      <c r="M49" s="170"/>
      <c r="N49" s="170"/>
      <c r="O49" s="170"/>
      <c r="P49" s="170"/>
      <c r="Q49" s="170"/>
      <c r="R49" s="414" t="s">
        <v>434</v>
      </c>
      <c r="S49" s="414" t="s">
        <v>46</v>
      </c>
      <c r="T49" s="414" t="s">
        <v>84</v>
      </c>
      <c r="U49" s="167"/>
      <c r="V49" s="417" t="s">
        <v>654</v>
      </c>
      <c r="W49" s="169"/>
    </row>
    <row r="50" spans="1:23">
      <c r="A50" s="187" t="s">
        <v>115</v>
      </c>
      <c r="B50" s="31" t="s">
        <v>116</v>
      </c>
      <c r="C50" s="26">
        <v>6</v>
      </c>
      <c r="D50" s="26">
        <v>6</v>
      </c>
      <c r="E50" s="14">
        <f t="shared" ref="E50:E71" si="4">I50+O50+P50+N50+M50+L50</f>
        <v>2974.41</v>
      </c>
      <c r="F50" s="32" t="s">
        <v>57</v>
      </c>
      <c r="G50" s="33">
        <v>2021</v>
      </c>
      <c r="H50" s="33">
        <v>2023</v>
      </c>
      <c r="I50" s="32">
        <v>155</v>
      </c>
      <c r="J50" s="33">
        <v>2020</v>
      </c>
      <c r="K50" s="33">
        <v>2024</v>
      </c>
      <c r="L50" s="32">
        <v>367.71</v>
      </c>
      <c r="M50" s="32">
        <f>1063.4</f>
        <v>1063.4000000000001</v>
      </c>
      <c r="N50" s="32">
        <v>500</v>
      </c>
      <c r="O50" s="32">
        <v>600</v>
      </c>
      <c r="P50" s="32">
        <v>288.3</v>
      </c>
      <c r="Q50" s="195"/>
      <c r="R50" s="415"/>
      <c r="S50" s="415"/>
      <c r="T50" s="415" t="s">
        <v>117</v>
      </c>
      <c r="U50" s="41" t="s">
        <v>118</v>
      </c>
      <c r="V50" s="417" t="s">
        <v>85</v>
      </c>
      <c r="W50" s="194"/>
    </row>
    <row r="51" spans="1:23">
      <c r="A51" s="187" t="s">
        <v>119</v>
      </c>
      <c r="B51" s="31" t="s">
        <v>120</v>
      </c>
      <c r="C51" s="26">
        <v>0.81</v>
      </c>
      <c r="D51" s="26">
        <v>0.81</v>
      </c>
      <c r="E51" s="14">
        <f t="shared" si="4"/>
        <v>30</v>
      </c>
      <c r="F51" s="32" t="s">
        <v>57</v>
      </c>
      <c r="G51" s="33">
        <v>2024</v>
      </c>
      <c r="H51" s="33">
        <v>2024</v>
      </c>
      <c r="I51" s="32">
        <v>30</v>
      </c>
      <c r="J51" s="33"/>
      <c r="K51" s="33"/>
      <c r="L51" s="32"/>
      <c r="M51" s="32"/>
      <c r="N51" s="32"/>
      <c r="O51" s="32"/>
      <c r="P51" s="32"/>
      <c r="Q51" s="195"/>
      <c r="R51" s="415"/>
      <c r="S51" s="415"/>
      <c r="T51" s="415" t="s">
        <v>117</v>
      </c>
      <c r="U51" s="34" t="s">
        <v>121</v>
      </c>
      <c r="V51" s="417" t="s">
        <v>85</v>
      </c>
      <c r="W51" s="194"/>
    </row>
    <row r="52" spans="1:23">
      <c r="A52" s="187" t="s">
        <v>122</v>
      </c>
      <c r="B52" s="31" t="s">
        <v>123</v>
      </c>
      <c r="C52" s="26">
        <v>0.2</v>
      </c>
      <c r="D52" s="26">
        <v>0.2</v>
      </c>
      <c r="E52" s="14">
        <f t="shared" si="4"/>
        <v>652</v>
      </c>
      <c r="F52" s="32" t="s">
        <v>57</v>
      </c>
      <c r="G52" s="33">
        <v>2021</v>
      </c>
      <c r="H52" s="33">
        <v>2023</v>
      </c>
      <c r="I52" s="32">
        <v>130</v>
      </c>
      <c r="J52" s="33">
        <v>2024</v>
      </c>
      <c r="K52" s="33">
        <v>2024</v>
      </c>
      <c r="L52" s="32"/>
      <c r="M52" s="32"/>
      <c r="N52" s="32"/>
      <c r="O52" s="32"/>
      <c r="P52" s="32">
        <f>620-98</f>
        <v>522</v>
      </c>
      <c r="Q52" s="195"/>
      <c r="R52" s="415"/>
      <c r="S52" s="415"/>
      <c r="T52" s="415" t="s">
        <v>117</v>
      </c>
      <c r="U52" s="34" t="s">
        <v>124</v>
      </c>
      <c r="V52" s="417" t="s">
        <v>85</v>
      </c>
      <c r="W52" s="194"/>
    </row>
    <row r="53" spans="1:23">
      <c r="A53" s="187" t="s">
        <v>125</v>
      </c>
      <c r="B53" s="31" t="s">
        <v>126</v>
      </c>
      <c r="C53" s="26">
        <v>0.32</v>
      </c>
      <c r="D53" s="26">
        <v>0.32</v>
      </c>
      <c r="E53" s="28">
        <f t="shared" si="4"/>
        <v>1842</v>
      </c>
      <c r="F53" s="32" t="s">
        <v>57</v>
      </c>
      <c r="G53" s="33">
        <v>2022</v>
      </c>
      <c r="H53" s="33">
        <v>2022</v>
      </c>
      <c r="I53" s="32">
        <v>120</v>
      </c>
      <c r="J53" s="33">
        <v>2024</v>
      </c>
      <c r="K53" s="33">
        <v>2024</v>
      </c>
      <c r="L53" s="32"/>
      <c r="M53" s="32"/>
      <c r="N53" s="32"/>
      <c r="O53" s="32">
        <v>1451</v>
      </c>
      <c r="P53" s="32">
        <v>271</v>
      </c>
      <c r="Q53" s="195"/>
      <c r="R53" s="415"/>
      <c r="S53" s="415"/>
      <c r="T53" s="415" t="s">
        <v>117</v>
      </c>
      <c r="U53" s="34" t="s">
        <v>127</v>
      </c>
      <c r="V53" s="417" t="s">
        <v>85</v>
      </c>
      <c r="W53" s="194"/>
    </row>
    <row r="54" spans="1:23">
      <c r="A54" s="187" t="s">
        <v>128</v>
      </c>
      <c r="B54" s="410" t="s">
        <v>109</v>
      </c>
      <c r="C54" s="410"/>
      <c r="D54" s="410"/>
      <c r="E54" s="14">
        <f t="shared" si="4"/>
        <v>0</v>
      </c>
      <c r="F54" s="215"/>
      <c r="G54" s="35"/>
      <c r="H54" s="35"/>
      <c r="I54" s="215"/>
      <c r="J54" s="35"/>
      <c r="K54" s="35"/>
      <c r="L54" s="215"/>
      <c r="M54" s="215"/>
      <c r="N54" s="215"/>
      <c r="O54" s="195"/>
      <c r="P54" s="195"/>
      <c r="Q54" s="195"/>
      <c r="R54" s="415"/>
      <c r="S54" s="415"/>
      <c r="T54" s="415" t="s">
        <v>117</v>
      </c>
      <c r="U54" s="192"/>
      <c r="V54" s="417" t="s">
        <v>85</v>
      </c>
      <c r="W54" s="194"/>
    </row>
    <row r="55" spans="1:23">
      <c r="A55" s="187" t="s">
        <v>129</v>
      </c>
      <c r="B55" s="31" t="s">
        <v>130</v>
      </c>
      <c r="C55" s="26">
        <v>9</v>
      </c>
      <c r="D55" s="26">
        <v>9</v>
      </c>
      <c r="E55" s="149">
        <f t="shared" si="4"/>
        <v>4391.5</v>
      </c>
      <c r="F55" s="32" t="s">
        <v>34</v>
      </c>
      <c r="G55" s="33"/>
      <c r="H55" s="33"/>
      <c r="I55" s="32"/>
      <c r="J55" s="33">
        <v>2020</v>
      </c>
      <c r="K55" s="33">
        <v>2024</v>
      </c>
      <c r="L55" s="32">
        <v>988.5</v>
      </c>
      <c r="M55" s="32">
        <v>1560</v>
      </c>
      <c r="N55" s="32">
        <v>700</v>
      </c>
      <c r="O55" s="32">
        <v>700</v>
      </c>
      <c r="P55" s="32">
        <v>443</v>
      </c>
      <c r="Q55" s="195"/>
      <c r="R55" s="415"/>
      <c r="S55" s="415"/>
      <c r="T55" s="415" t="s">
        <v>117</v>
      </c>
      <c r="U55" s="34" t="s">
        <v>131</v>
      </c>
      <c r="V55" s="417" t="s">
        <v>85</v>
      </c>
      <c r="W55" s="194"/>
    </row>
    <row r="56" spans="1:23">
      <c r="A56" s="187" t="s">
        <v>132</v>
      </c>
      <c r="B56" s="31" t="s">
        <v>120</v>
      </c>
      <c r="C56" s="26">
        <f>4.72+1.36</f>
        <v>6.08</v>
      </c>
      <c r="D56" s="26">
        <f>4.72+1.36</f>
        <v>6.08</v>
      </c>
      <c r="E56" s="149">
        <f t="shared" si="4"/>
        <v>2644.36</v>
      </c>
      <c r="F56" s="32" t="s">
        <v>57</v>
      </c>
      <c r="G56" s="33"/>
      <c r="H56" s="33"/>
      <c r="I56" s="32"/>
      <c r="J56" s="33">
        <v>2021</v>
      </c>
      <c r="K56" s="33">
        <v>2021</v>
      </c>
      <c r="L56" s="32"/>
      <c r="M56" s="32">
        <f>2638.36+300-294</f>
        <v>2644.36</v>
      </c>
      <c r="N56" s="32"/>
      <c r="O56" s="32"/>
      <c r="P56" s="32"/>
      <c r="Q56" s="195"/>
      <c r="R56" s="415"/>
      <c r="S56" s="415"/>
      <c r="T56" s="415" t="s">
        <v>117</v>
      </c>
      <c r="U56" s="34" t="s">
        <v>121</v>
      </c>
      <c r="V56" s="417" t="s">
        <v>85</v>
      </c>
      <c r="W56" s="194"/>
    </row>
    <row r="57" spans="1:23" ht="45">
      <c r="A57" s="187" t="s">
        <v>133</v>
      </c>
      <c r="B57" s="31" t="s">
        <v>134</v>
      </c>
      <c r="C57" s="26">
        <v>1.04</v>
      </c>
      <c r="D57" s="26">
        <v>1.04</v>
      </c>
      <c r="E57" s="149">
        <f t="shared" si="4"/>
        <v>1270</v>
      </c>
      <c r="F57" s="32" t="s">
        <v>34</v>
      </c>
      <c r="G57" s="33"/>
      <c r="H57" s="33"/>
      <c r="I57" s="32"/>
      <c r="J57" s="33">
        <v>2020</v>
      </c>
      <c r="K57" s="33">
        <v>2020</v>
      </c>
      <c r="L57" s="32">
        <v>1270</v>
      </c>
      <c r="M57" s="32"/>
      <c r="N57" s="32"/>
      <c r="O57" s="32"/>
      <c r="P57" s="32"/>
      <c r="Q57" s="195"/>
      <c r="R57" s="415"/>
      <c r="S57" s="415"/>
      <c r="T57" s="415" t="s">
        <v>117</v>
      </c>
      <c r="U57" s="41" t="s">
        <v>135</v>
      </c>
      <c r="V57" s="417" t="s">
        <v>85</v>
      </c>
      <c r="W57" s="194"/>
    </row>
    <row r="58" spans="1:23">
      <c r="A58" s="187" t="s">
        <v>136</v>
      </c>
      <c r="B58" s="31" t="s">
        <v>137</v>
      </c>
      <c r="C58" s="26">
        <v>0.52</v>
      </c>
      <c r="D58" s="26">
        <v>0.52</v>
      </c>
      <c r="E58" s="149">
        <f t="shared" si="4"/>
        <v>1350</v>
      </c>
      <c r="F58" s="32" t="s">
        <v>34</v>
      </c>
      <c r="G58" s="33"/>
      <c r="H58" s="33"/>
      <c r="I58" s="32"/>
      <c r="J58" s="33">
        <v>2020</v>
      </c>
      <c r="K58" s="33">
        <v>2020</v>
      </c>
      <c r="L58" s="32">
        <v>1350</v>
      </c>
      <c r="M58" s="32"/>
      <c r="N58" s="32"/>
      <c r="O58" s="32"/>
      <c r="P58" s="32"/>
      <c r="Q58" s="195"/>
      <c r="R58" s="415"/>
      <c r="S58" s="415"/>
      <c r="T58" s="415" t="s">
        <v>117</v>
      </c>
      <c r="U58" s="41" t="s">
        <v>138</v>
      </c>
      <c r="V58" s="417" t="s">
        <v>85</v>
      </c>
      <c r="W58" s="194"/>
    </row>
    <row r="59" spans="1:23">
      <c r="A59" s="187" t="s">
        <v>139</v>
      </c>
      <c r="B59" s="410" t="s">
        <v>93</v>
      </c>
      <c r="C59" s="410"/>
      <c r="D59" s="410"/>
      <c r="E59" s="14">
        <f t="shared" si="4"/>
        <v>0</v>
      </c>
      <c r="F59" s="215"/>
      <c r="G59" s="35"/>
      <c r="H59" s="35"/>
      <c r="I59" s="215"/>
      <c r="J59" s="35"/>
      <c r="K59" s="35"/>
      <c r="L59" s="215"/>
      <c r="M59" s="215"/>
      <c r="N59" s="215"/>
      <c r="O59" s="195"/>
      <c r="P59" s="195"/>
      <c r="Q59" s="195"/>
      <c r="R59" s="415"/>
      <c r="S59" s="415"/>
      <c r="T59" s="415" t="s">
        <v>117</v>
      </c>
      <c r="U59" s="192"/>
      <c r="V59" s="417" t="s">
        <v>85</v>
      </c>
      <c r="W59" s="194"/>
    </row>
    <row r="60" spans="1:23">
      <c r="A60" s="187" t="s">
        <v>140</v>
      </c>
      <c r="B60" s="31" t="s">
        <v>130</v>
      </c>
      <c r="C60" s="26">
        <v>21</v>
      </c>
      <c r="D60" s="26">
        <v>21</v>
      </c>
      <c r="E60" s="149">
        <f t="shared" si="4"/>
        <v>3688.04</v>
      </c>
      <c r="F60" s="32" t="s">
        <v>34</v>
      </c>
      <c r="G60" s="33"/>
      <c r="H60" s="33"/>
      <c r="I60" s="32"/>
      <c r="J60" s="33">
        <v>2020</v>
      </c>
      <c r="K60" s="33">
        <v>2024</v>
      </c>
      <c r="L60" s="32">
        <v>1687.39</v>
      </c>
      <c r="M60" s="32">
        <v>1500</v>
      </c>
      <c r="N60" s="32"/>
      <c r="O60" s="32"/>
      <c r="P60" s="32">
        <v>500.65</v>
      </c>
      <c r="Q60" s="195"/>
      <c r="R60" s="415"/>
      <c r="S60" s="415"/>
      <c r="T60" s="415" t="s">
        <v>117</v>
      </c>
      <c r="U60" s="34" t="s">
        <v>131</v>
      </c>
      <c r="V60" s="417" t="s">
        <v>85</v>
      </c>
      <c r="W60" s="194"/>
    </row>
    <row r="61" spans="1:23">
      <c r="A61" s="187" t="s">
        <v>141</v>
      </c>
      <c r="B61" s="31" t="s">
        <v>142</v>
      </c>
      <c r="C61" s="26">
        <v>0.82</v>
      </c>
      <c r="D61" s="26">
        <v>0.82</v>
      </c>
      <c r="E61" s="149">
        <f t="shared" si="4"/>
        <v>50</v>
      </c>
      <c r="F61" s="32" t="s">
        <v>57</v>
      </c>
      <c r="G61" s="33">
        <v>2023</v>
      </c>
      <c r="H61" s="33">
        <v>2023</v>
      </c>
      <c r="I61" s="32">
        <v>50</v>
      </c>
      <c r="J61" s="33"/>
      <c r="K61" s="33"/>
      <c r="L61" s="32"/>
      <c r="M61" s="32"/>
      <c r="N61" s="32"/>
      <c r="O61" s="32"/>
      <c r="P61" s="32"/>
      <c r="Q61" s="195"/>
      <c r="R61" s="415"/>
      <c r="S61" s="415"/>
      <c r="T61" s="415" t="s">
        <v>117</v>
      </c>
      <c r="U61" s="41" t="s">
        <v>143</v>
      </c>
      <c r="V61" s="417" t="s">
        <v>85</v>
      </c>
      <c r="W61" s="194"/>
    </row>
    <row r="62" spans="1:23">
      <c r="A62" s="187" t="s">
        <v>144</v>
      </c>
      <c r="B62" s="31" t="s">
        <v>120</v>
      </c>
      <c r="C62" s="26">
        <v>1.03</v>
      </c>
      <c r="D62" s="26">
        <v>1.03</v>
      </c>
      <c r="E62" s="149">
        <f t="shared" si="4"/>
        <v>568</v>
      </c>
      <c r="F62" s="32" t="s">
        <v>34</v>
      </c>
      <c r="G62" s="33"/>
      <c r="H62" s="33"/>
      <c r="I62" s="32"/>
      <c r="J62" s="33">
        <v>2021</v>
      </c>
      <c r="K62" s="33">
        <v>2021</v>
      </c>
      <c r="L62" s="32"/>
      <c r="M62" s="32">
        <v>568</v>
      </c>
      <c r="N62" s="32"/>
      <c r="O62" s="32"/>
      <c r="P62" s="32"/>
      <c r="Q62" s="195"/>
      <c r="R62" s="415"/>
      <c r="S62" s="415"/>
      <c r="T62" s="415" t="s">
        <v>117</v>
      </c>
      <c r="U62" s="34" t="s">
        <v>121</v>
      </c>
      <c r="V62" s="417" t="s">
        <v>85</v>
      </c>
      <c r="W62" s="194"/>
    </row>
    <row r="63" spans="1:23">
      <c r="A63" s="187" t="s">
        <v>145</v>
      </c>
      <c r="B63" s="31" t="s">
        <v>137</v>
      </c>
      <c r="C63" s="26">
        <v>5.5</v>
      </c>
      <c r="D63" s="26">
        <v>5.5</v>
      </c>
      <c r="E63" s="149">
        <f t="shared" si="4"/>
        <v>9299.2900000000009</v>
      </c>
      <c r="F63" s="32" t="s">
        <v>57</v>
      </c>
      <c r="G63" s="33">
        <v>2023</v>
      </c>
      <c r="H63" s="33">
        <v>2023</v>
      </c>
      <c r="I63" s="32">
        <v>50</v>
      </c>
      <c r="J63" s="33">
        <v>2020</v>
      </c>
      <c r="K63" s="33">
        <v>2024</v>
      </c>
      <c r="L63" s="205">
        <v>9249.2900000000009</v>
      </c>
      <c r="M63" s="32"/>
      <c r="N63" s="163"/>
      <c r="O63" s="32"/>
      <c r="P63" s="151"/>
      <c r="Q63" s="195"/>
      <c r="R63" s="415"/>
      <c r="S63" s="415"/>
      <c r="T63" s="415" t="s">
        <v>117</v>
      </c>
      <c r="U63" s="41" t="s">
        <v>146</v>
      </c>
      <c r="V63" s="417" t="s">
        <v>85</v>
      </c>
      <c r="W63" s="194"/>
    </row>
    <row r="64" spans="1:23">
      <c r="A64" s="187" t="s">
        <v>147</v>
      </c>
      <c r="B64" s="31" t="s">
        <v>126</v>
      </c>
      <c r="C64" s="26">
        <v>0.42</v>
      </c>
      <c r="D64" s="26">
        <v>0.42</v>
      </c>
      <c r="E64" s="149">
        <f t="shared" si="4"/>
        <v>1927.883</v>
      </c>
      <c r="F64" s="32" t="s">
        <v>57</v>
      </c>
      <c r="G64" s="33">
        <v>2021</v>
      </c>
      <c r="H64" s="33">
        <v>2024</v>
      </c>
      <c r="I64" s="32">
        <f>98-0.317</f>
        <v>97.683000000000007</v>
      </c>
      <c r="J64" s="33">
        <v>2021</v>
      </c>
      <c r="K64" s="33">
        <v>2023</v>
      </c>
      <c r="L64" s="32"/>
      <c r="M64" s="32">
        <f>133+46</f>
        <v>179</v>
      </c>
      <c r="N64" s="32">
        <v>1567.2</v>
      </c>
      <c r="O64" s="32">
        <v>84</v>
      </c>
      <c r="P64" s="32"/>
      <c r="Q64" s="195"/>
      <c r="R64" s="415"/>
      <c r="S64" s="415"/>
      <c r="T64" s="415" t="s">
        <v>117</v>
      </c>
      <c r="U64" s="34" t="s">
        <v>127</v>
      </c>
      <c r="V64" s="417" t="s">
        <v>85</v>
      </c>
      <c r="W64" s="194"/>
    </row>
    <row r="65" spans="1:23">
      <c r="A65" s="187" t="s">
        <v>148</v>
      </c>
      <c r="B65" s="38" t="s">
        <v>105</v>
      </c>
      <c r="C65" s="192"/>
      <c r="D65" s="192"/>
      <c r="E65" s="14">
        <f t="shared" si="4"/>
        <v>0</v>
      </c>
      <c r="F65" s="215"/>
      <c r="G65" s="35"/>
      <c r="H65" s="35"/>
      <c r="I65" s="215"/>
      <c r="J65" s="35"/>
      <c r="K65" s="35"/>
      <c r="L65" s="215"/>
      <c r="M65" s="215"/>
      <c r="N65" s="215"/>
      <c r="O65" s="195"/>
      <c r="P65" s="195"/>
      <c r="Q65" s="195"/>
      <c r="R65" s="415"/>
      <c r="S65" s="415"/>
      <c r="T65" s="415" t="s">
        <v>117</v>
      </c>
      <c r="U65" s="192"/>
      <c r="V65" s="417" t="s">
        <v>85</v>
      </c>
      <c r="W65" s="194"/>
    </row>
    <row r="66" spans="1:23">
      <c r="A66" s="187" t="s">
        <v>149</v>
      </c>
      <c r="B66" s="31" t="s">
        <v>130</v>
      </c>
      <c r="C66" s="26">
        <v>15</v>
      </c>
      <c r="D66" s="26">
        <v>15</v>
      </c>
      <c r="E66" s="149">
        <f t="shared" si="4"/>
        <v>3170.46</v>
      </c>
      <c r="F66" s="32" t="s">
        <v>57</v>
      </c>
      <c r="G66" s="33">
        <v>2023</v>
      </c>
      <c r="H66" s="33">
        <v>2023</v>
      </c>
      <c r="I66" s="32">
        <v>113</v>
      </c>
      <c r="J66" s="33">
        <v>2020</v>
      </c>
      <c r="K66" s="33">
        <v>2020</v>
      </c>
      <c r="L66" s="32">
        <v>1557.46</v>
      </c>
      <c r="M66" s="32">
        <v>1500</v>
      </c>
      <c r="N66" s="32"/>
      <c r="O66" s="32"/>
      <c r="P66" s="32"/>
      <c r="Q66" s="195"/>
      <c r="R66" s="415"/>
      <c r="S66" s="415"/>
      <c r="T66" s="415" t="s">
        <v>117</v>
      </c>
      <c r="U66" s="34" t="s">
        <v>150</v>
      </c>
      <c r="V66" s="417" t="s">
        <v>85</v>
      </c>
      <c r="W66" s="194"/>
    </row>
    <row r="67" spans="1:23">
      <c r="A67" s="187" t="s">
        <v>151</v>
      </c>
      <c r="B67" s="31" t="s">
        <v>134</v>
      </c>
      <c r="C67" s="26">
        <v>4.5</v>
      </c>
      <c r="D67" s="26">
        <v>4.5</v>
      </c>
      <c r="E67" s="149">
        <f t="shared" si="4"/>
        <v>2025</v>
      </c>
      <c r="F67" s="32" t="s">
        <v>34</v>
      </c>
      <c r="G67" s="33"/>
      <c r="H67" s="33"/>
      <c r="I67" s="32"/>
      <c r="J67" s="33">
        <v>2024</v>
      </c>
      <c r="K67" s="33">
        <v>2024</v>
      </c>
      <c r="L67" s="14"/>
      <c r="M67" s="32"/>
      <c r="N67" s="32"/>
      <c r="O67" s="32"/>
      <c r="P67" s="32">
        <v>2025</v>
      </c>
      <c r="Q67" s="195"/>
      <c r="R67" s="415"/>
      <c r="S67" s="415"/>
      <c r="T67" s="415" t="s">
        <v>117</v>
      </c>
      <c r="U67" s="41" t="s">
        <v>152</v>
      </c>
      <c r="V67" s="417" t="s">
        <v>85</v>
      </c>
      <c r="W67" s="194"/>
    </row>
    <row r="68" spans="1:23">
      <c r="A68" s="187" t="s">
        <v>153</v>
      </c>
      <c r="B68" s="31" t="s">
        <v>120</v>
      </c>
      <c r="C68" s="26">
        <v>0.42499999999999999</v>
      </c>
      <c r="D68" s="26">
        <v>0.42499999999999999</v>
      </c>
      <c r="E68" s="149">
        <f t="shared" si="4"/>
        <v>330</v>
      </c>
      <c r="F68" s="32" t="s">
        <v>57</v>
      </c>
      <c r="G68" s="33">
        <v>2023</v>
      </c>
      <c r="H68" s="33">
        <v>2023</v>
      </c>
      <c r="I68" s="32">
        <v>30</v>
      </c>
      <c r="J68" s="33">
        <v>2024</v>
      </c>
      <c r="K68" s="33">
        <v>2024</v>
      </c>
      <c r="L68" s="32"/>
      <c r="M68" s="32"/>
      <c r="N68" s="32"/>
      <c r="O68" s="32"/>
      <c r="P68" s="32">
        <v>300</v>
      </c>
      <c r="Q68" s="195"/>
      <c r="R68" s="415"/>
      <c r="S68" s="415"/>
      <c r="T68" s="415" t="s">
        <v>117</v>
      </c>
      <c r="U68" s="34" t="s">
        <v>121</v>
      </c>
      <c r="V68" s="417" t="s">
        <v>85</v>
      </c>
      <c r="W68" s="194"/>
    </row>
    <row r="69" spans="1:23">
      <c r="A69" s="187" t="s">
        <v>154</v>
      </c>
      <c r="B69" s="31" t="s">
        <v>123</v>
      </c>
      <c r="C69" s="26">
        <v>1.76</v>
      </c>
      <c r="D69" s="26">
        <v>1.76</v>
      </c>
      <c r="E69" s="149">
        <f t="shared" si="4"/>
        <v>630</v>
      </c>
      <c r="F69" s="32" t="s">
        <v>57</v>
      </c>
      <c r="G69" s="33">
        <v>2021</v>
      </c>
      <c r="H69" s="33">
        <v>2023</v>
      </c>
      <c r="I69" s="32">
        <v>130</v>
      </c>
      <c r="J69" s="33"/>
      <c r="K69" s="33"/>
      <c r="L69" s="32"/>
      <c r="M69" s="32"/>
      <c r="N69" s="32">
        <v>500</v>
      </c>
      <c r="O69" s="32"/>
      <c r="P69" s="32"/>
      <c r="Q69" s="195"/>
      <c r="R69" s="415"/>
      <c r="S69" s="415"/>
      <c r="T69" s="415" t="s">
        <v>117</v>
      </c>
      <c r="U69" s="41" t="s">
        <v>155</v>
      </c>
      <c r="V69" s="417" t="s">
        <v>85</v>
      </c>
      <c r="W69" s="194"/>
    </row>
    <row r="70" spans="1:23">
      <c r="A70" s="187" t="s">
        <v>156</v>
      </c>
      <c r="B70" s="31" t="s">
        <v>126</v>
      </c>
      <c r="C70" s="26">
        <v>1.32</v>
      </c>
      <c r="D70" s="26">
        <v>1.32</v>
      </c>
      <c r="E70" s="149">
        <f t="shared" si="4"/>
        <v>749.3900000000001</v>
      </c>
      <c r="F70" s="32" t="s">
        <v>34</v>
      </c>
      <c r="G70" s="35"/>
      <c r="H70" s="35"/>
      <c r="I70" s="215"/>
      <c r="J70" s="33">
        <v>2023</v>
      </c>
      <c r="K70" s="33">
        <v>2023</v>
      </c>
      <c r="L70" s="32"/>
      <c r="M70" s="32"/>
      <c r="N70" s="32"/>
      <c r="O70" s="151">
        <f>739.2+10.19</f>
        <v>749.3900000000001</v>
      </c>
      <c r="P70" s="32"/>
      <c r="Q70" s="195"/>
      <c r="R70" s="415"/>
      <c r="S70" s="415"/>
      <c r="T70" s="415" t="s">
        <v>117</v>
      </c>
      <c r="U70" s="34" t="s">
        <v>127</v>
      </c>
      <c r="V70" s="417" t="s">
        <v>85</v>
      </c>
      <c r="W70" s="194"/>
    </row>
    <row r="71" spans="1:23">
      <c r="A71" s="187" t="s">
        <v>157</v>
      </c>
      <c r="B71" s="38" t="s">
        <v>98</v>
      </c>
      <c r="C71" s="192"/>
      <c r="D71" s="192"/>
      <c r="E71" s="14">
        <f t="shared" si="4"/>
        <v>0</v>
      </c>
      <c r="F71" s="215"/>
      <c r="G71" s="35"/>
      <c r="H71" s="35"/>
      <c r="I71" s="215"/>
      <c r="J71" s="35"/>
      <c r="K71" s="35"/>
      <c r="L71" s="215"/>
      <c r="M71" s="215"/>
      <c r="N71" s="215"/>
      <c r="O71" s="195"/>
      <c r="P71" s="195"/>
      <c r="Q71" s="195"/>
      <c r="R71" s="415"/>
      <c r="S71" s="415"/>
      <c r="T71" s="415" t="s">
        <v>117</v>
      </c>
      <c r="U71" s="192"/>
      <c r="V71" s="417" t="s">
        <v>85</v>
      </c>
      <c r="W71" s="194"/>
    </row>
    <row r="72" spans="1:23">
      <c r="A72" s="187" t="s">
        <v>158</v>
      </c>
      <c r="B72" s="31" t="s">
        <v>130</v>
      </c>
      <c r="C72" s="26">
        <v>20</v>
      </c>
      <c r="D72" s="26">
        <v>20</v>
      </c>
      <c r="E72" s="149">
        <f>I72+O72+P72+N72+M72+L72</f>
        <v>5431.01</v>
      </c>
      <c r="F72" s="32" t="s">
        <v>34</v>
      </c>
      <c r="G72" s="33"/>
      <c r="H72" s="33"/>
      <c r="I72" s="32"/>
      <c r="J72" s="33">
        <v>2020</v>
      </c>
      <c r="K72" s="33">
        <v>2024</v>
      </c>
      <c r="L72" s="32">
        <v>2279.0100000000002</v>
      </c>
      <c r="M72" s="32">
        <v>1600</v>
      </c>
      <c r="N72" s="32">
        <v>1000</v>
      </c>
      <c r="O72" s="32"/>
      <c r="P72" s="32">
        <v>552</v>
      </c>
      <c r="Q72" s="195"/>
      <c r="R72" s="415"/>
      <c r="S72" s="415"/>
      <c r="T72" s="415" t="s">
        <v>117</v>
      </c>
      <c r="U72" s="41" t="s">
        <v>159</v>
      </c>
      <c r="V72" s="417" t="s">
        <v>85</v>
      </c>
      <c r="W72" s="194"/>
    </row>
    <row r="73" spans="1:23">
      <c r="A73" s="187" t="s">
        <v>160</v>
      </c>
      <c r="B73" s="31" t="s">
        <v>123</v>
      </c>
      <c r="C73" s="26">
        <v>0.7</v>
      </c>
      <c r="D73" s="26">
        <v>0.7</v>
      </c>
      <c r="E73" s="149">
        <f>I73+O73+P73+N73+M73+L73</f>
        <v>2355</v>
      </c>
      <c r="F73" s="32" t="s">
        <v>57</v>
      </c>
      <c r="G73" s="33">
        <v>2021</v>
      </c>
      <c r="H73" s="33">
        <v>2024</v>
      </c>
      <c r="I73" s="32">
        <v>185</v>
      </c>
      <c r="J73" s="33">
        <v>2023</v>
      </c>
      <c r="K73" s="33">
        <v>2023</v>
      </c>
      <c r="L73" s="32"/>
      <c r="M73" s="32"/>
      <c r="N73" s="32"/>
      <c r="O73" s="32">
        <v>2170</v>
      </c>
      <c r="P73" s="32"/>
      <c r="Q73" s="195"/>
      <c r="R73" s="415"/>
      <c r="S73" s="415"/>
      <c r="T73" s="415" t="s">
        <v>117</v>
      </c>
      <c r="U73" s="34" t="s">
        <v>161</v>
      </c>
      <c r="V73" s="417" t="s">
        <v>85</v>
      </c>
      <c r="W73" s="194"/>
    </row>
    <row r="74" spans="1:23">
      <c r="A74" s="187" t="s">
        <v>407</v>
      </c>
      <c r="B74" s="31" t="s">
        <v>126</v>
      </c>
      <c r="C74" s="26">
        <v>0.38</v>
      </c>
      <c r="D74" s="26">
        <v>0.38</v>
      </c>
      <c r="E74" s="149">
        <f t="shared" ref="E74" si="5">I74+O74+P74+N74+M74+L74</f>
        <v>1572.75</v>
      </c>
      <c r="F74" s="32" t="s">
        <v>57</v>
      </c>
      <c r="G74" s="33">
        <v>2020</v>
      </c>
      <c r="H74" s="33">
        <v>2020</v>
      </c>
      <c r="I74" s="32">
        <v>91.75</v>
      </c>
      <c r="J74" s="33">
        <v>2021</v>
      </c>
      <c r="K74" s="33">
        <v>2021</v>
      </c>
      <c r="L74" s="215"/>
      <c r="M74" s="32">
        <v>211</v>
      </c>
      <c r="N74" s="32">
        <v>1270</v>
      </c>
      <c r="O74" s="195"/>
      <c r="P74" s="195"/>
      <c r="Q74" s="195"/>
      <c r="R74" s="416"/>
      <c r="S74" s="416"/>
      <c r="T74" s="416"/>
      <c r="U74" s="192"/>
      <c r="V74" s="194"/>
      <c r="W74" s="194"/>
    </row>
    <row r="75" spans="1:23">
      <c r="A75" s="187"/>
      <c r="B75" s="31"/>
      <c r="C75" s="192"/>
      <c r="D75" s="192"/>
      <c r="E75" s="14"/>
      <c r="F75" s="215"/>
      <c r="G75" s="215"/>
      <c r="H75" s="215"/>
      <c r="I75" s="215"/>
      <c r="J75" s="215"/>
      <c r="K75" s="215"/>
      <c r="L75" s="215"/>
      <c r="M75" s="215"/>
      <c r="N75" s="215"/>
      <c r="O75" s="195"/>
      <c r="P75" s="195"/>
      <c r="Q75" s="195"/>
      <c r="R75" s="195"/>
      <c r="S75" s="195"/>
      <c r="T75" s="45"/>
      <c r="U75" s="192"/>
      <c r="V75" s="194"/>
      <c r="W75" s="194"/>
    </row>
    <row r="76" spans="1:23" s="40" customFormat="1" ht="14.25">
      <c r="A76" s="194"/>
      <c r="B76" s="410" t="s">
        <v>162</v>
      </c>
      <c r="C76" s="410"/>
      <c r="D76" s="410"/>
      <c r="E76" s="46">
        <f>E77+E78</f>
        <v>7545.46</v>
      </c>
      <c r="F76" s="215"/>
      <c r="G76" s="215"/>
      <c r="H76" s="215"/>
      <c r="I76" s="46">
        <f>I77+I78</f>
        <v>866.96</v>
      </c>
      <c r="J76" s="215"/>
      <c r="K76" s="215"/>
      <c r="L76" s="46">
        <f>L77+L78</f>
        <v>0</v>
      </c>
      <c r="M76" s="46">
        <f>M77+M78</f>
        <v>5591</v>
      </c>
      <c r="N76" s="46">
        <f t="shared" ref="N76:P76" si="6">N77+N78</f>
        <v>0</v>
      </c>
      <c r="O76" s="46">
        <f t="shared" si="6"/>
        <v>857.5</v>
      </c>
      <c r="P76" s="46">
        <f t="shared" si="6"/>
        <v>230</v>
      </c>
      <c r="Q76" s="195"/>
      <c r="R76" s="195"/>
      <c r="S76" s="195"/>
      <c r="T76" s="45"/>
      <c r="U76" s="192"/>
      <c r="V76" s="194"/>
      <c r="W76" s="194"/>
    </row>
    <row r="77" spans="1:23" s="40" customFormat="1" ht="14.25">
      <c r="A77" s="194"/>
      <c r="B77" s="47" t="s">
        <v>163</v>
      </c>
      <c r="C77" s="47">
        <f>C40+C42+C45+C47</f>
        <v>6</v>
      </c>
      <c r="D77" s="47">
        <f>D40+D42+D45+D47</f>
        <v>6</v>
      </c>
      <c r="E77" s="39">
        <f>E40+E42+E45+E47</f>
        <v>4528.12</v>
      </c>
      <c r="F77" s="195"/>
      <c r="G77" s="195"/>
      <c r="H77" s="195"/>
      <c r="I77" s="48">
        <f>I40+I42+I45+I47</f>
        <v>523.12</v>
      </c>
      <c r="J77" s="195"/>
      <c r="K77" s="195"/>
      <c r="L77" s="39">
        <f>L40+L42+L45+L47</f>
        <v>0</v>
      </c>
      <c r="M77" s="48">
        <f>M40+M42+M45+M47</f>
        <v>3111</v>
      </c>
      <c r="N77" s="48">
        <f>N40+N42+N45+N47</f>
        <v>0</v>
      </c>
      <c r="O77" s="48">
        <f>O40+O42+O45+O47</f>
        <v>664</v>
      </c>
      <c r="P77" s="48">
        <f>P40+P42+P45+P47</f>
        <v>230</v>
      </c>
      <c r="Q77" s="195"/>
      <c r="R77" s="195"/>
      <c r="S77" s="195"/>
      <c r="T77" s="45"/>
      <c r="U77" s="192"/>
      <c r="V77" s="194"/>
      <c r="W77" s="194"/>
    </row>
    <row r="78" spans="1:23" s="40" customFormat="1" ht="14.25">
      <c r="A78" s="194"/>
      <c r="B78" s="47" t="s">
        <v>164</v>
      </c>
      <c r="C78" s="47">
        <f>C38+C43+C37</f>
        <v>1.28</v>
      </c>
      <c r="D78" s="47">
        <f t="shared" ref="D78" si="7">D38+D43+D37</f>
        <v>1.28</v>
      </c>
      <c r="E78" s="45">
        <f>E38+E43+E37</f>
        <v>3017.34</v>
      </c>
      <c r="F78" s="195"/>
      <c r="G78" s="195"/>
      <c r="H78" s="195"/>
      <c r="I78" s="45">
        <f>I38+I43+I37</f>
        <v>343.84000000000003</v>
      </c>
      <c r="J78" s="195"/>
      <c r="K78" s="195"/>
      <c r="L78" s="45">
        <f t="shared" ref="L78:P78" si="8">L38+L43+L37</f>
        <v>0</v>
      </c>
      <c r="M78" s="45">
        <f t="shared" si="8"/>
        <v>2480</v>
      </c>
      <c r="N78" s="45">
        <f t="shared" si="8"/>
        <v>0</v>
      </c>
      <c r="O78" s="45">
        <f t="shared" si="8"/>
        <v>193.5</v>
      </c>
      <c r="P78" s="47">
        <f t="shared" si="8"/>
        <v>0</v>
      </c>
      <c r="Q78" s="195"/>
      <c r="R78" s="195"/>
      <c r="S78" s="195"/>
      <c r="T78" s="195"/>
      <c r="U78" s="192"/>
      <c r="V78" s="194"/>
      <c r="W78" s="194"/>
    </row>
    <row r="79" spans="1:23" s="40" customFormat="1" ht="14.25">
      <c r="A79" s="169"/>
      <c r="B79" s="410" t="s">
        <v>165</v>
      </c>
      <c r="C79" s="410"/>
      <c r="D79" s="410"/>
      <c r="E79" s="49">
        <f>E80+E81</f>
        <v>46951.093000000001</v>
      </c>
      <c r="F79" s="170"/>
      <c r="G79" s="170"/>
      <c r="H79" s="170"/>
      <c r="I79" s="49">
        <f>I80+I81</f>
        <v>1182.433</v>
      </c>
      <c r="J79" s="170"/>
      <c r="K79" s="170"/>
      <c r="L79" s="49">
        <f>L80+L81</f>
        <v>18749.36</v>
      </c>
      <c r="M79" s="49">
        <f>M80+M81</f>
        <v>10825.76</v>
      </c>
      <c r="N79" s="49">
        <f t="shared" ref="N79:P79" si="9">N80+N81</f>
        <v>5537.2</v>
      </c>
      <c r="O79" s="49">
        <f t="shared" si="9"/>
        <v>5754.39</v>
      </c>
      <c r="P79" s="49">
        <f t="shared" si="9"/>
        <v>4901.95</v>
      </c>
      <c r="Q79" s="170"/>
      <c r="R79" s="170"/>
      <c r="S79" s="170"/>
      <c r="T79" s="170"/>
      <c r="U79" s="167"/>
      <c r="V79" s="169"/>
      <c r="W79" s="169"/>
    </row>
    <row r="80" spans="1:23" s="40" customFormat="1" ht="14.25">
      <c r="A80" s="169"/>
      <c r="B80" s="47" t="s">
        <v>163</v>
      </c>
      <c r="C80" s="47">
        <f>C50+C55+C60+C66+C72</f>
        <v>71</v>
      </c>
      <c r="D80" s="47">
        <f>D50+D55+D60+D66+D72</f>
        <v>71</v>
      </c>
      <c r="E80" s="48">
        <f>E50+E55+E60+E66+E72</f>
        <v>19655.419999999998</v>
      </c>
      <c r="F80" s="170"/>
      <c r="G80" s="170"/>
      <c r="H80" s="170"/>
      <c r="I80" s="48">
        <f>I50+I55+I60+I66+I72</f>
        <v>268</v>
      </c>
      <c r="J80" s="170"/>
      <c r="K80" s="170"/>
      <c r="L80" s="48">
        <f>L50+L55+L60+L66+L72</f>
        <v>6880.0700000000006</v>
      </c>
      <c r="M80" s="39">
        <f>M50+M55+M60+M66+M72</f>
        <v>7223.4</v>
      </c>
      <c r="N80" s="39">
        <f>N50+N55+N60+N66+N72</f>
        <v>2200</v>
      </c>
      <c r="O80" s="39">
        <f>O50+O55+O60+O66+O72</f>
        <v>1300</v>
      </c>
      <c r="P80" s="48">
        <f>P50+P55+P60+P66+P72</f>
        <v>1783.9499999999998</v>
      </c>
      <c r="Q80" s="170"/>
      <c r="R80" s="170"/>
      <c r="S80" s="170"/>
      <c r="T80" s="170"/>
      <c r="U80" s="167"/>
      <c r="V80" s="169"/>
      <c r="W80" s="169"/>
    </row>
    <row r="81" spans="1:23" s="40" customFormat="1" ht="14.25">
      <c r="A81" s="169"/>
      <c r="B81" s="47" t="s">
        <v>164</v>
      </c>
      <c r="C81" s="47">
        <f>C51+C52+C53+C56+C57+C58+C61+C62+C63+C64+C67+C68+C69+C70+C73</f>
        <v>25.445000000000004</v>
      </c>
      <c r="D81" s="47">
        <f>D51+D52+D53+D56+D57+D58+D61+D62+D63+D64+D67+D68+D69+D70+D73</f>
        <v>25.445000000000004</v>
      </c>
      <c r="E81" s="49">
        <f>E51+E52+E53+E56+E57+E58+E62+E61+E63+E64+E67+E68+E69+E70+E73+E74</f>
        <v>27295.673000000003</v>
      </c>
      <c r="F81" s="170"/>
      <c r="G81" s="170"/>
      <c r="H81" s="170"/>
      <c r="I81" s="49">
        <f>I51+I52+I53+I56+I57+I58+I62+I61+I63+I64+I67+I68+I69+I70+I73+I74</f>
        <v>914.43299999999999</v>
      </c>
      <c r="J81" s="170"/>
      <c r="K81" s="170"/>
      <c r="L81" s="49">
        <f t="shared" ref="L81:P81" si="10">L51+L52+L53+L56+L57+L58+L62+L61+L63+L64+L67+L68+L69+L70+L73+L74</f>
        <v>11869.29</v>
      </c>
      <c r="M81" s="49">
        <f t="shared" si="10"/>
        <v>3602.36</v>
      </c>
      <c r="N81" s="49">
        <f t="shared" si="10"/>
        <v>3337.2</v>
      </c>
      <c r="O81" s="49">
        <f t="shared" si="10"/>
        <v>4454.3900000000003</v>
      </c>
      <c r="P81" s="49">
        <f t="shared" si="10"/>
        <v>3118</v>
      </c>
      <c r="Q81" s="170"/>
      <c r="R81" s="170"/>
      <c r="S81" s="170"/>
      <c r="T81" s="170"/>
      <c r="U81" s="167"/>
      <c r="V81" s="169"/>
      <c r="W81" s="169"/>
    </row>
    <row r="82" spans="1:23">
      <c r="A82" s="171"/>
      <c r="B82" s="410" t="s">
        <v>166</v>
      </c>
      <c r="C82" s="410"/>
      <c r="D82" s="410"/>
      <c r="E82" s="170">
        <f>E76+E79</f>
        <v>54496.553</v>
      </c>
      <c r="F82" s="170"/>
      <c r="G82" s="170"/>
      <c r="H82" s="170"/>
      <c r="I82" s="170">
        <f>I76+I79</f>
        <v>2049.393</v>
      </c>
      <c r="J82" s="170"/>
      <c r="K82" s="170"/>
      <c r="L82" s="170">
        <f>L76+L79</f>
        <v>18749.36</v>
      </c>
      <c r="M82" s="170">
        <f t="shared" ref="M82:P82" si="11">M76+M79</f>
        <v>16416.760000000002</v>
      </c>
      <c r="N82" s="170">
        <f t="shared" si="11"/>
        <v>5537.2</v>
      </c>
      <c r="O82" s="170">
        <f t="shared" si="11"/>
        <v>6611.89</v>
      </c>
      <c r="P82" s="170">
        <f t="shared" si="11"/>
        <v>5131.95</v>
      </c>
      <c r="Q82" s="170"/>
      <c r="R82" s="170"/>
      <c r="S82" s="170"/>
      <c r="T82" s="170"/>
      <c r="U82" s="167"/>
      <c r="V82" s="169"/>
      <c r="W82" s="169"/>
    </row>
    <row r="83" spans="1:23" s="5" customFormat="1">
      <c r="A83" s="3">
        <v>5</v>
      </c>
      <c r="B83" s="411" t="s">
        <v>167</v>
      </c>
      <c r="C83" s="411"/>
      <c r="D83" s="411"/>
      <c r="E83" s="4"/>
      <c r="F83" s="4"/>
      <c r="G83" s="4"/>
      <c r="H83" s="4"/>
      <c r="I83" s="4"/>
      <c r="J83" s="4"/>
      <c r="K83" s="4"/>
      <c r="L83" s="4"/>
      <c r="M83" s="4"/>
      <c r="N83" s="4"/>
      <c r="O83" s="4"/>
      <c r="P83" s="4"/>
      <c r="Q83" s="4"/>
      <c r="R83" s="4"/>
      <c r="S83" s="4"/>
      <c r="T83" s="4"/>
      <c r="U83" s="4"/>
      <c r="V83" s="4"/>
      <c r="W83" s="4"/>
    </row>
    <row r="84" spans="1:23" s="10" customFormat="1" ht="75">
      <c r="A84" s="50" t="s">
        <v>168</v>
      </c>
      <c r="B84" s="51" t="s">
        <v>169</v>
      </c>
      <c r="C84" s="52"/>
      <c r="D84" s="52"/>
      <c r="E84" s="207">
        <f>I84</f>
        <v>1102.5</v>
      </c>
      <c r="F84" s="52"/>
      <c r="G84" s="54">
        <v>2020</v>
      </c>
      <c r="H84" s="54">
        <v>2020</v>
      </c>
      <c r="I84" s="207">
        <v>1102.5</v>
      </c>
      <c r="J84" s="52"/>
      <c r="K84" s="52"/>
      <c r="L84" s="52"/>
      <c r="M84" s="52"/>
      <c r="N84" s="52"/>
      <c r="O84" s="52"/>
      <c r="P84" s="52"/>
      <c r="Q84" s="52"/>
      <c r="R84" s="52"/>
      <c r="S84" s="52"/>
      <c r="T84" s="52" t="s">
        <v>170</v>
      </c>
      <c r="U84" s="52"/>
      <c r="V84" s="52" t="s">
        <v>656</v>
      </c>
      <c r="W84" s="52"/>
    </row>
    <row r="85" spans="1:23" s="10" customFormat="1" ht="50.25" customHeight="1">
      <c r="A85" s="50" t="s">
        <v>171</v>
      </c>
      <c r="B85" s="51" t="s">
        <v>172</v>
      </c>
      <c r="C85" s="52"/>
      <c r="D85" s="52"/>
      <c r="E85" s="207">
        <f t="shared" ref="E85:E95" si="12">I85+O85+P85+N85+M85+L85</f>
        <v>1163.3200000000002</v>
      </c>
      <c r="F85" s="52"/>
      <c r="G85" s="54"/>
      <c r="H85" s="54"/>
      <c r="I85" s="52"/>
      <c r="J85" s="52"/>
      <c r="K85" s="52"/>
      <c r="L85" s="52">
        <v>269</v>
      </c>
      <c r="M85" s="52">
        <v>293.91000000000003</v>
      </c>
      <c r="N85" s="52">
        <v>194</v>
      </c>
      <c r="O85" s="52">
        <v>293.91000000000003</v>
      </c>
      <c r="P85" s="52">
        <v>112.5</v>
      </c>
      <c r="Q85" s="52"/>
      <c r="R85" s="55" t="s">
        <v>173</v>
      </c>
      <c r="S85" s="52"/>
      <c r="T85" s="52"/>
      <c r="U85" s="52"/>
      <c r="V85" s="52" t="s">
        <v>589</v>
      </c>
      <c r="W85" s="52"/>
    </row>
    <row r="86" spans="1:23" s="10" customFormat="1" ht="60">
      <c r="A86" s="50" t="s">
        <v>174</v>
      </c>
      <c r="B86" s="51" t="s">
        <v>175</v>
      </c>
      <c r="C86" s="52"/>
      <c r="D86" s="52"/>
      <c r="E86" s="207">
        <f t="shared" si="12"/>
        <v>41360.32</v>
      </c>
      <c r="F86" s="52"/>
      <c r="G86" s="52"/>
      <c r="H86" s="52"/>
      <c r="I86" s="52"/>
      <c r="J86" s="52"/>
      <c r="K86" s="52"/>
      <c r="L86" s="206">
        <f>SUM(L87:L93)</f>
        <v>9171.7200000000012</v>
      </c>
      <c r="M86" s="206">
        <f>SUM(M87:M93)</f>
        <v>7683.4</v>
      </c>
      <c r="N86" s="206">
        <f>SUM(N87:N93)</f>
        <v>8395.4</v>
      </c>
      <c r="O86" s="206">
        <f>SUM(O87:O93)</f>
        <v>9170.4</v>
      </c>
      <c r="P86" s="206">
        <f>SUM(P87:P93)</f>
        <v>6939.4</v>
      </c>
      <c r="Q86" s="53"/>
      <c r="R86" s="55" t="s">
        <v>176</v>
      </c>
      <c r="S86" s="52"/>
      <c r="T86" s="52" t="s">
        <v>170</v>
      </c>
      <c r="U86" s="52"/>
      <c r="V86" s="52" t="s">
        <v>590</v>
      </c>
      <c r="W86" s="52"/>
    </row>
    <row r="87" spans="1:23" ht="60">
      <c r="A87" s="56" t="s">
        <v>177</v>
      </c>
      <c r="B87" s="57" t="s">
        <v>178</v>
      </c>
      <c r="C87" s="13"/>
      <c r="D87" s="13"/>
      <c r="E87" s="14">
        <f t="shared" si="12"/>
        <v>2248.6</v>
      </c>
      <c r="F87" s="13"/>
      <c r="G87" s="13"/>
      <c r="H87" s="13"/>
      <c r="I87" s="13"/>
      <c r="J87" s="13"/>
      <c r="K87" s="13"/>
      <c r="L87" s="58">
        <v>175</v>
      </c>
      <c r="M87" s="58">
        <v>518.4</v>
      </c>
      <c r="N87" s="58">
        <v>518.4</v>
      </c>
      <c r="O87" s="58">
        <v>518.4</v>
      </c>
      <c r="P87" s="58">
        <v>518.4</v>
      </c>
      <c r="Q87" s="14"/>
      <c r="R87" s="25" t="s">
        <v>176</v>
      </c>
      <c r="S87" s="13"/>
      <c r="T87" s="13"/>
      <c r="U87" s="13"/>
      <c r="V87" s="13"/>
      <c r="W87" s="13"/>
    </row>
    <row r="88" spans="1:23" ht="60">
      <c r="A88" s="56" t="s">
        <v>179</v>
      </c>
      <c r="B88" s="57" t="s">
        <v>180</v>
      </c>
      <c r="C88" s="13"/>
      <c r="D88" s="13"/>
      <c r="E88" s="14">
        <f t="shared" si="12"/>
        <v>24144.45</v>
      </c>
      <c r="F88" s="13"/>
      <c r="G88" s="13"/>
      <c r="H88" s="13"/>
      <c r="I88" s="13"/>
      <c r="J88" s="13"/>
      <c r="K88" s="13"/>
      <c r="L88" s="58">
        <v>4435.45</v>
      </c>
      <c r="M88" s="58">
        <f>6215-51-2100</f>
        <v>4064</v>
      </c>
      <c r="N88" s="58">
        <v>4840</v>
      </c>
      <c r="O88" s="58">
        <v>5525</v>
      </c>
      <c r="P88" s="58">
        <v>5280</v>
      </c>
      <c r="Q88" s="14"/>
      <c r="R88" s="25" t="s">
        <v>176</v>
      </c>
      <c r="S88" s="13"/>
      <c r="T88" s="13"/>
      <c r="U88" s="13"/>
      <c r="V88" s="13"/>
      <c r="W88" s="13"/>
    </row>
    <row r="89" spans="1:23" ht="60">
      <c r="A89" s="56" t="s">
        <v>181</v>
      </c>
      <c r="B89" s="57" t="s">
        <v>182</v>
      </c>
      <c r="C89" s="13"/>
      <c r="D89" s="13"/>
      <c r="E89" s="14">
        <f t="shared" si="12"/>
        <v>9333.06</v>
      </c>
      <c r="F89" s="13"/>
      <c r="G89" s="13"/>
      <c r="H89" s="13"/>
      <c r="I89" s="13"/>
      <c r="J89" s="13"/>
      <c r="K89" s="13"/>
      <c r="L89" s="59">
        <v>3233.06</v>
      </c>
      <c r="M89" s="58">
        <v>1900</v>
      </c>
      <c r="N89" s="58">
        <v>2100</v>
      </c>
      <c r="O89" s="58">
        <v>2100</v>
      </c>
      <c r="P89" s="58">
        <v>0</v>
      </c>
      <c r="Q89" s="14"/>
      <c r="R89" s="25" t="s">
        <v>176</v>
      </c>
      <c r="S89" s="13"/>
      <c r="T89" s="13"/>
      <c r="U89" s="13"/>
      <c r="V89" s="13"/>
      <c r="W89" s="13"/>
    </row>
    <row r="90" spans="1:23" ht="60">
      <c r="A90" s="56" t="s">
        <v>183</v>
      </c>
      <c r="B90" s="57" t="s">
        <v>184</v>
      </c>
      <c r="C90" s="13"/>
      <c r="D90" s="13"/>
      <c r="E90" s="14">
        <f t="shared" si="12"/>
        <v>4508.68</v>
      </c>
      <c r="F90" s="13"/>
      <c r="G90" s="13"/>
      <c r="H90" s="13"/>
      <c r="I90" s="13"/>
      <c r="J90" s="13"/>
      <c r="K90" s="13"/>
      <c r="L90" s="58">
        <v>868.68</v>
      </c>
      <c r="M90" s="58">
        <v>780</v>
      </c>
      <c r="N90" s="58">
        <v>860</v>
      </c>
      <c r="O90" s="58">
        <v>950</v>
      </c>
      <c r="P90" s="58">
        <v>1050</v>
      </c>
      <c r="Q90" s="14"/>
      <c r="R90" s="25" t="s">
        <v>176</v>
      </c>
      <c r="S90" s="13"/>
      <c r="T90" s="13"/>
      <c r="U90" s="13"/>
      <c r="V90" s="13"/>
      <c r="W90" s="13"/>
    </row>
    <row r="91" spans="1:23" ht="60">
      <c r="A91" s="56" t="s">
        <v>185</v>
      </c>
      <c r="B91" s="57" t="s">
        <v>186</v>
      </c>
      <c r="C91" s="13"/>
      <c r="D91" s="13"/>
      <c r="E91" s="14">
        <f t="shared" si="12"/>
        <v>28</v>
      </c>
      <c r="F91" s="13"/>
      <c r="G91" s="13"/>
      <c r="H91" s="13"/>
      <c r="I91" s="13"/>
      <c r="J91" s="13"/>
      <c r="K91" s="13"/>
      <c r="L91" s="59">
        <v>0</v>
      </c>
      <c r="M91" s="59">
        <v>14</v>
      </c>
      <c r="N91" s="59">
        <v>0</v>
      </c>
      <c r="O91" s="59">
        <v>0</v>
      </c>
      <c r="P91" s="59">
        <v>14</v>
      </c>
      <c r="Q91" s="14"/>
      <c r="R91" s="25" t="s">
        <v>176</v>
      </c>
      <c r="S91" s="13"/>
      <c r="T91" s="13"/>
      <c r="U91" s="13"/>
      <c r="V91" s="13"/>
      <c r="W91" s="13"/>
    </row>
    <row r="92" spans="1:23" ht="60">
      <c r="A92" s="56" t="s">
        <v>187</v>
      </c>
      <c r="B92" s="57" t="s">
        <v>188</v>
      </c>
      <c r="C92" s="13"/>
      <c r="D92" s="13"/>
      <c r="E92" s="14">
        <f t="shared" si="12"/>
        <v>708</v>
      </c>
      <c r="F92" s="13"/>
      <c r="G92" s="13"/>
      <c r="H92" s="13"/>
      <c r="I92" s="13"/>
      <c r="J92" s="13"/>
      <c r="K92" s="13"/>
      <c r="L92" s="59">
        <v>378</v>
      </c>
      <c r="M92" s="59">
        <v>330</v>
      </c>
      <c r="N92" s="59">
        <v>0</v>
      </c>
      <c r="O92" s="59">
        <v>0</v>
      </c>
      <c r="P92" s="59">
        <v>0</v>
      </c>
      <c r="Q92" s="14"/>
      <c r="R92" s="25" t="s">
        <v>176</v>
      </c>
      <c r="S92" s="13"/>
      <c r="T92" s="13"/>
      <c r="U92" s="13"/>
      <c r="V92" s="13"/>
      <c r="W92" s="13"/>
    </row>
    <row r="93" spans="1:23" ht="60">
      <c r="A93" s="56" t="s">
        <v>587</v>
      </c>
      <c r="B93" s="57" t="s">
        <v>440</v>
      </c>
      <c r="C93" s="13"/>
      <c r="D93" s="13"/>
      <c r="E93" s="14">
        <f t="shared" si="12"/>
        <v>389.53</v>
      </c>
      <c r="F93" s="13"/>
      <c r="G93" s="13"/>
      <c r="H93" s="13"/>
      <c r="I93" s="13"/>
      <c r="J93" s="13"/>
      <c r="K93" s="13"/>
      <c r="L93" s="58">
        <v>81.53</v>
      </c>
      <c r="M93" s="58">
        <v>77</v>
      </c>
      <c r="N93" s="58">
        <v>77</v>
      </c>
      <c r="O93" s="58">
        <v>77</v>
      </c>
      <c r="P93" s="58">
        <v>77</v>
      </c>
      <c r="Q93" s="14"/>
      <c r="R93" s="25" t="s">
        <v>176</v>
      </c>
      <c r="S93" s="13"/>
      <c r="T93" s="13"/>
      <c r="U93" s="13"/>
      <c r="V93" s="13"/>
      <c r="W93" s="13"/>
    </row>
    <row r="94" spans="1:23" s="10" customFormat="1" ht="75">
      <c r="A94" s="50" t="s">
        <v>189</v>
      </c>
      <c r="B94" s="51" t="s">
        <v>190</v>
      </c>
      <c r="C94" s="52"/>
      <c r="D94" s="52"/>
      <c r="E94" s="207">
        <f t="shared" si="12"/>
        <v>9745.9600000000009</v>
      </c>
      <c r="F94" s="52"/>
      <c r="G94" s="52"/>
      <c r="H94" s="52"/>
      <c r="I94" s="52"/>
      <c r="J94" s="52"/>
      <c r="K94" s="52"/>
      <c r="L94" s="208">
        <f>L95+L96</f>
        <v>2781.27</v>
      </c>
      <c r="M94" s="208">
        <f>M95+M96</f>
        <v>2176</v>
      </c>
      <c r="N94" s="208">
        <f>N95+N96</f>
        <v>1274.69</v>
      </c>
      <c r="O94" s="208">
        <f>O95+O96</f>
        <v>2458</v>
      </c>
      <c r="P94" s="208">
        <f>P95+P96</f>
        <v>1056</v>
      </c>
      <c r="Q94" s="53"/>
      <c r="R94" s="55" t="s">
        <v>176</v>
      </c>
      <c r="S94" s="52"/>
      <c r="T94" s="52" t="s">
        <v>170</v>
      </c>
      <c r="U94" s="52"/>
      <c r="V94" s="52" t="s">
        <v>591</v>
      </c>
      <c r="W94" s="52"/>
    </row>
    <row r="95" spans="1:23" ht="60">
      <c r="A95" s="56" t="s">
        <v>191</v>
      </c>
      <c r="B95" s="16" t="s">
        <v>192</v>
      </c>
      <c r="C95" s="13"/>
      <c r="D95" s="13"/>
      <c r="E95" s="14">
        <f t="shared" si="12"/>
        <v>6008.4</v>
      </c>
      <c r="F95" s="13"/>
      <c r="G95" s="13"/>
      <c r="H95" s="13"/>
      <c r="I95" s="13"/>
      <c r="J95" s="13"/>
      <c r="K95" s="13"/>
      <c r="L95" s="181">
        <v>688.4</v>
      </c>
      <c r="M95" s="181">
        <v>2000</v>
      </c>
      <c r="N95" s="60">
        <v>780</v>
      </c>
      <c r="O95" s="60">
        <v>2040</v>
      </c>
      <c r="P95" s="60">
        <v>500</v>
      </c>
      <c r="Q95" s="15"/>
      <c r="R95" s="25" t="s">
        <v>176</v>
      </c>
      <c r="S95" s="13"/>
      <c r="T95" s="13"/>
      <c r="U95" s="13"/>
      <c r="V95" s="13"/>
      <c r="W95" s="13"/>
    </row>
    <row r="96" spans="1:23" ht="60">
      <c r="A96" s="56" t="s">
        <v>193</v>
      </c>
      <c r="B96" s="16" t="s">
        <v>194</v>
      </c>
      <c r="C96" s="13"/>
      <c r="D96" s="13"/>
      <c r="E96" s="28">
        <f>I96+O96+P96+N96+M96+L96</f>
        <v>3737.56</v>
      </c>
      <c r="F96" s="13"/>
      <c r="G96" s="13"/>
      <c r="H96" s="13"/>
      <c r="I96" s="13"/>
      <c r="J96" s="13"/>
      <c r="K96" s="13"/>
      <c r="L96" s="181">
        <f>2032.4+60.47</f>
        <v>2092.87</v>
      </c>
      <c r="M96" s="181">
        <v>176</v>
      </c>
      <c r="N96" s="181">
        <v>494.69</v>
      </c>
      <c r="O96" s="60">
        <v>418</v>
      </c>
      <c r="P96" s="60">
        <v>556</v>
      </c>
      <c r="Q96" s="15"/>
      <c r="R96" s="25" t="s">
        <v>176</v>
      </c>
      <c r="S96" s="13"/>
      <c r="T96" s="13"/>
      <c r="U96" s="13"/>
      <c r="V96" s="13"/>
      <c r="W96" s="13"/>
    </row>
    <row r="97" spans="1:25" s="10" customFormat="1" ht="60">
      <c r="A97" s="50" t="s">
        <v>195</v>
      </c>
      <c r="B97" s="51" t="s">
        <v>438</v>
      </c>
      <c r="C97" s="52"/>
      <c r="D97" s="52"/>
      <c r="E97" s="88">
        <f>I97+O97+P97+N97+M97+L97</f>
        <v>4913.6499999999996</v>
      </c>
      <c r="F97" s="52"/>
      <c r="G97" s="52"/>
      <c r="H97" s="52"/>
      <c r="I97" s="52"/>
      <c r="J97" s="52"/>
      <c r="K97" s="52"/>
      <c r="L97" s="208">
        <v>1003.15</v>
      </c>
      <c r="M97" s="208">
        <f>1400-477</f>
        <v>923</v>
      </c>
      <c r="N97" s="208">
        <v>753</v>
      </c>
      <c r="O97" s="208">
        <f>2561-1611</f>
        <v>950</v>
      </c>
      <c r="P97" s="208">
        <v>1284.5</v>
      </c>
      <c r="Q97" s="53"/>
      <c r="R97" s="55" t="s">
        <v>176</v>
      </c>
      <c r="S97" s="52"/>
      <c r="T97" s="52" t="s">
        <v>205</v>
      </c>
      <c r="U97" s="52"/>
      <c r="V97" s="52" t="s">
        <v>657</v>
      </c>
      <c r="W97" s="52"/>
    </row>
    <row r="98" spans="1:25">
      <c r="A98" s="172"/>
      <c r="B98" s="412" t="s">
        <v>196</v>
      </c>
      <c r="C98" s="412"/>
      <c r="D98" s="412"/>
      <c r="E98" s="61">
        <f>E84+E85+E86+E94+E97</f>
        <v>58285.75</v>
      </c>
      <c r="F98" s="61"/>
      <c r="G98" s="61"/>
      <c r="H98" s="61"/>
      <c r="I98" s="61">
        <f>I84+I85+I86+I94+I97</f>
        <v>1102.5</v>
      </c>
      <c r="J98" s="61"/>
      <c r="K98" s="61"/>
      <c r="L98" s="62">
        <f>L97+L94+L86+L85+L84</f>
        <v>13225.140000000001</v>
      </c>
      <c r="M98" s="62">
        <f>M97+M94+M86+M85+M84</f>
        <v>11076.31</v>
      </c>
      <c r="N98" s="62">
        <f>N97+N94+N86+N85+N84</f>
        <v>10617.09</v>
      </c>
      <c r="O98" s="62">
        <f>O97+O94+O86+O85+O84</f>
        <v>12872.31</v>
      </c>
      <c r="P98" s="62">
        <f>P97+P94+P86+P85+P84</f>
        <v>9392.4</v>
      </c>
      <c r="Q98" s="61"/>
      <c r="R98" s="61"/>
      <c r="S98" s="61"/>
      <c r="T98" s="61"/>
      <c r="U98" s="61"/>
      <c r="V98" s="61"/>
      <c r="W98" s="13"/>
    </row>
    <row r="99" spans="1:25" s="5" customFormat="1">
      <c r="A99" s="211"/>
      <c r="B99" s="43" t="s">
        <v>197</v>
      </c>
      <c r="C99" s="43"/>
      <c r="D99" s="43"/>
      <c r="E99" s="232">
        <f>E98+E82+E13+E6</f>
        <v>227528.003</v>
      </c>
      <c r="F99" s="174"/>
      <c r="G99" s="174"/>
      <c r="H99" s="174"/>
      <c r="I99" s="213">
        <f>I98+I82+I13+I6</f>
        <v>5029.1630000000005</v>
      </c>
      <c r="J99" s="174"/>
      <c r="K99" s="174"/>
      <c r="L99" s="212">
        <f>L98+L82+L13+L6</f>
        <v>37664.400000000001</v>
      </c>
      <c r="M99" s="212">
        <f>M98+M82+M13+M6</f>
        <v>39924.97</v>
      </c>
      <c r="N99" s="212">
        <f>N98+N82+N13+N6</f>
        <v>43784.39</v>
      </c>
      <c r="O99" s="212">
        <f>O98+O82+O13+O6</f>
        <v>48479</v>
      </c>
      <c r="P99" s="212">
        <f>P98+P82+P13+P6</f>
        <v>52646.079999999994</v>
      </c>
      <c r="Q99" s="232"/>
      <c r="R99" s="174"/>
      <c r="S99" s="174"/>
      <c r="T99" s="174"/>
      <c r="U99" s="174"/>
      <c r="V99" s="174"/>
      <c r="W99" s="174"/>
    </row>
    <row r="100" spans="1:25">
      <c r="A100" s="1"/>
      <c r="B100" s="63"/>
      <c r="C100" s="63"/>
      <c r="D100" s="63"/>
      <c r="E100" s="64"/>
      <c r="F100" s="64"/>
      <c r="G100" s="64"/>
      <c r="H100" s="64"/>
      <c r="I100" s="64"/>
      <c r="J100" s="64"/>
      <c r="K100" s="64"/>
      <c r="L100" s="86"/>
      <c r="M100" s="86"/>
      <c r="N100" s="86"/>
      <c r="O100" s="86"/>
      <c r="P100" s="86"/>
      <c r="Q100" s="65"/>
      <c r="R100" s="64"/>
      <c r="S100" s="64"/>
      <c r="T100" s="64"/>
      <c r="U100" s="64"/>
      <c r="V100" s="64"/>
      <c r="W100" s="64"/>
    </row>
    <row r="101" spans="1:25" ht="16.5" customHeight="1">
      <c r="A101" s="1"/>
      <c r="B101" s="152"/>
      <c r="C101" s="64"/>
      <c r="D101" s="64"/>
      <c r="E101" s="86"/>
      <c r="F101" s="85"/>
      <c r="G101" s="85"/>
      <c r="H101" s="85"/>
      <c r="I101" s="85"/>
      <c r="J101" s="86"/>
      <c r="K101" s="86"/>
      <c r="L101" s="176"/>
      <c r="M101" s="87"/>
      <c r="N101" s="87"/>
      <c r="O101" s="87"/>
      <c r="P101" s="87"/>
      <c r="Q101" s="87"/>
      <c r="R101" s="180"/>
      <c r="S101" s="66"/>
      <c r="T101" s="66"/>
      <c r="U101" s="64"/>
      <c r="V101" s="64"/>
      <c r="W101" s="64"/>
    </row>
    <row r="102" spans="1:25" ht="16.5" customHeight="1">
      <c r="A102" s="1"/>
      <c r="B102" s="152"/>
      <c r="C102" s="64"/>
      <c r="D102" s="64"/>
      <c r="E102" s="86"/>
      <c r="F102" s="85"/>
      <c r="G102" s="85"/>
      <c r="H102" s="85"/>
      <c r="I102" s="85"/>
      <c r="J102" s="86"/>
      <c r="K102" s="86"/>
      <c r="L102" s="176"/>
      <c r="M102" s="176"/>
      <c r="N102" s="176"/>
      <c r="O102" s="176"/>
      <c r="P102" s="87"/>
      <c r="Q102" s="87"/>
      <c r="R102" s="66"/>
      <c r="S102" s="66"/>
      <c r="T102" s="66"/>
      <c r="U102" s="64"/>
      <c r="V102" s="64"/>
      <c r="W102" s="64"/>
    </row>
    <row r="103" spans="1:25" s="69" customFormat="1">
      <c r="A103" s="67" t="s">
        <v>198</v>
      </c>
      <c r="B103" s="67"/>
      <c r="C103" s="67"/>
      <c r="D103" s="67"/>
      <c r="E103" s="154"/>
      <c r="F103" s="64"/>
      <c r="G103" s="67"/>
      <c r="H103" s="67"/>
      <c r="I103" s="84"/>
      <c r="J103" s="67"/>
      <c r="K103" s="67"/>
      <c r="L103" s="84"/>
      <c r="M103" s="84"/>
      <c r="N103" s="84"/>
      <c r="O103" s="84"/>
      <c r="P103" s="84"/>
      <c r="Q103" s="87"/>
      <c r="R103" s="68"/>
      <c r="S103" s="68"/>
      <c r="T103" s="68"/>
      <c r="U103" s="67"/>
      <c r="V103" s="2"/>
      <c r="W103" s="2"/>
      <c r="X103" s="166"/>
    </row>
    <row r="104" spans="1:25" s="70" customFormat="1">
      <c r="A104" s="67" t="s">
        <v>199</v>
      </c>
      <c r="B104" s="67"/>
      <c r="C104" s="67"/>
      <c r="D104" s="67"/>
      <c r="E104" s="154"/>
      <c r="F104" s="67"/>
      <c r="L104" s="158"/>
      <c r="M104" s="159"/>
      <c r="N104" s="159"/>
      <c r="O104" s="159"/>
      <c r="P104" s="87"/>
      <c r="Q104" s="87"/>
      <c r="R104" s="71"/>
      <c r="S104" s="71"/>
      <c r="T104" s="71"/>
    </row>
    <row r="105" spans="1:25" s="69" customFormat="1">
      <c r="B105" s="67"/>
      <c r="C105" s="166"/>
      <c r="D105" s="403"/>
      <c r="E105" s="403"/>
      <c r="F105" s="166"/>
      <c r="G105" s="166"/>
      <c r="H105" s="166"/>
      <c r="I105" s="166"/>
      <c r="J105" s="161"/>
      <c r="K105" s="162"/>
      <c r="L105" s="161"/>
      <c r="M105" s="161"/>
      <c r="N105" s="161"/>
      <c r="O105" s="161"/>
      <c r="P105" s="87"/>
      <c r="Q105" s="87"/>
      <c r="R105" s="162"/>
      <c r="S105" s="166"/>
      <c r="T105" s="166"/>
      <c r="U105" s="166"/>
      <c r="V105" s="72"/>
      <c r="W105" s="73"/>
      <c r="X105" s="73"/>
    </row>
    <row r="106" spans="1:25" s="69" customFormat="1" ht="15.75" customHeight="1">
      <c r="B106" s="74" t="s">
        <v>658</v>
      </c>
      <c r="C106" s="344"/>
      <c r="D106" s="448"/>
      <c r="E106" s="448"/>
      <c r="F106" s="344"/>
      <c r="G106" s="344"/>
      <c r="H106" s="344"/>
      <c r="I106" s="344"/>
      <c r="J106" s="445" t="s">
        <v>371</v>
      </c>
      <c r="K106" s="445"/>
      <c r="L106" s="446"/>
      <c r="M106" s="161"/>
      <c r="N106" s="161"/>
      <c r="O106" s="161"/>
      <c r="P106" s="87"/>
      <c r="Q106" s="87"/>
      <c r="R106" s="162"/>
      <c r="S106" s="344"/>
      <c r="T106" s="344"/>
      <c r="U106" s="344"/>
      <c r="V106" s="72"/>
      <c r="W106" s="73"/>
      <c r="X106" s="73"/>
    </row>
    <row r="107" spans="1:25" s="69" customFormat="1">
      <c r="B107" s="74" t="s">
        <v>659</v>
      </c>
      <c r="C107" s="166"/>
      <c r="D107" s="403" t="s">
        <v>200</v>
      </c>
      <c r="E107" s="403"/>
      <c r="F107" s="166"/>
      <c r="G107" s="166"/>
      <c r="H107" s="166"/>
      <c r="I107" s="166"/>
      <c r="J107" s="403" t="s">
        <v>201</v>
      </c>
      <c r="K107" s="403"/>
      <c r="L107" s="403"/>
      <c r="M107" s="166"/>
      <c r="N107" s="166"/>
      <c r="O107" s="166"/>
      <c r="P107" s="166"/>
      <c r="Q107" s="160"/>
      <c r="R107" s="166"/>
      <c r="S107" s="166"/>
      <c r="T107" s="166"/>
      <c r="U107" s="166"/>
      <c r="V107" s="75"/>
      <c r="W107" s="73"/>
      <c r="X107" s="73"/>
    </row>
    <row r="108" spans="1:25" s="76" customFormat="1">
      <c r="B108" s="77" t="s">
        <v>202</v>
      </c>
      <c r="C108" s="166"/>
      <c r="D108" s="403" t="s">
        <v>203</v>
      </c>
      <c r="E108" s="403"/>
      <c r="F108" s="166"/>
      <c r="G108" s="166"/>
      <c r="H108" s="166"/>
      <c r="I108" s="166"/>
      <c r="J108" s="166"/>
      <c r="K108" s="166"/>
      <c r="L108" s="166"/>
      <c r="M108" s="166"/>
      <c r="N108" s="166"/>
      <c r="O108" s="166"/>
      <c r="P108" s="166"/>
      <c r="Q108" s="166"/>
      <c r="R108" s="166"/>
      <c r="S108" s="166"/>
      <c r="T108" s="166"/>
      <c r="U108" s="166"/>
      <c r="V108" s="166"/>
      <c r="W108" s="69"/>
      <c r="X108" s="69"/>
      <c r="Y108" s="78"/>
    </row>
    <row r="109" spans="1:25" s="76" customFormat="1">
      <c r="B109" s="77"/>
      <c r="C109" s="69"/>
      <c r="D109" s="79"/>
      <c r="E109" s="79"/>
      <c r="F109" s="79"/>
      <c r="G109" s="79"/>
      <c r="H109" s="79"/>
      <c r="I109" s="79"/>
      <c r="J109" s="79"/>
      <c r="K109" s="80"/>
      <c r="L109" s="164"/>
      <c r="M109" s="164"/>
      <c r="N109" s="164"/>
      <c r="O109" s="164"/>
      <c r="P109" s="164"/>
      <c r="Q109" s="164">
        <f t="shared" ref="Q109" si="13">Q101*0.75</f>
        <v>0</v>
      </c>
      <c r="R109" s="79"/>
      <c r="S109" s="79"/>
      <c r="T109" s="79"/>
      <c r="U109" s="79"/>
      <c r="V109" s="75"/>
      <c r="W109" s="69"/>
      <c r="X109" s="69"/>
    </row>
    <row r="110" spans="1:25">
      <c r="B110" s="81" t="s">
        <v>204</v>
      </c>
      <c r="C110" s="76"/>
      <c r="D110" s="76"/>
      <c r="E110" s="76"/>
      <c r="F110" s="76"/>
      <c r="G110" s="76"/>
      <c r="H110" s="76"/>
      <c r="I110" s="76"/>
      <c r="J110" s="76"/>
      <c r="K110" s="76"/>
      <c r="L110" s="173"/>
      <c r="M110" s="173"/>
      <c r="N110" s="173"/>
      <c r="O110" s="173"/>
      <c r="P110" s="173"/>
      <c r="Q110" s="76"/>
      <c r="R110" s="76"/>
      <c r="S110" s="76"/>
      <c r="T110" s="76"/>
      <c r="U110" s="76"/>
      <c r="V110" s="76"/>
      <c r="W110" s="76"/>
    </row>
    <row r="111" spans="1:25">
      <c r="B111" s="82"/>
      <c r="C111" s="76"/>
      <c r="D111" s="76"/>
      <c r="E111" s="76"/>
      <c r="F111" s="76"/>
      <c r="G111" s="76"/>
      <c r="H111" s="76"/>
      <c r="I111" s="76"/>
      <c r="J111" s="76"/>
      <c r="K111" s="76"/>
      <c r="L111" s="76"/>
      <c r="M111" s="76"/>
      <c r="N111" s="76"/>
      <c r="O111" s="76"/>
      <c r="P111" s="76"/>
      <c r="Q111" s="76"/>
      <c r="R111" s="76"/>
      <c r="S111" s="76"/>
      <c r="T111" s="76"/>
      <c r="U111" s="76"/>
      <c r="V111" s="76"/>
      <c r="W111" s="76"/>
    </row>
    <row r="112" spans="1:25" ht="15.75">
      <c r="B112" s="83"/>
      <c r="K112" s="1"/>
      <c r="L112" s="209"/>
      <c r="M112" s="209"/>
      <c r="N112" s="209"/>
      <c r="O112" s="209"/>
      <c r="P112" s="209"/>
      <c r="Q112" s="1"/>
    </row>
    <row r="113" spans="2:17">
      <c r="K113" s="1"/>
      <c r="L113" s="210"/>
      <c r="M113" s="210"/>
      <c r="N113" s="210"/>
      <c r="O113" s="210"/>
      <c r="P113" s="210"/>
      <c r="Q113" s="1"/>
    </row>
    <row r="114" spans="2:17">
      <c r="E114" s="337"/>
      <c r="F114" s="183"/>
      <c r="H114" s="337"/>
    </row>
    <row r="115" spans="2:17">
      <c r="F115" s="183"/>
      <c r="I115" s="183"/>
      <c r="L115" s="175"/>
      <c r="M115" s="175"/>
      <c r="N115" s="175"/>
      <c r="O115" s="175"/>
      <c r="P115" s="175"/>
    </row>
    <row r="116" spans="2:17">
      <c r="B116" s="40"/>
      <c r="F116" s="183"/>
    </row>
    <row r="117" spans="2:17">
      <c r="F117" s="183"/>
    </row>
    <row r="118" spans="2:17">
      <c r="F118" s="340"/>
    </row>
    <row r="119" spans="2:17">
      <c r="E119" s="338"/>
      <c r="F119" s="183"/>
    </row>
    <row r="120" spans="2:17">
      <c r="F120" s="183"/>
    </row>
  </sheetData>
  <sheetProtection insertRows="0" deleteRows="0"/>
  <autoFilter ref="A5:Y99" xr:uid="{00000000-0009-0000-0000-000007000000}"/>
  <mergeCells count="83">
    <mergeCell ref="J106:K106"/>
    <mergeCell ref="W2:W4"/>
    <mergeCell ref="A1:W1"/>
    <mergeCell ref="A2:A4"/>
    <mergeCell ref="B2:B4"/>
    <mergeCell ref="C2:C4"/>
    <mergeCell ref="D2:E2"/>
    <mergeCell ref="F2:F4"/>
    <mergeCell ref="G2:H2"/>
    <mergeCell ref="I2:I4"/>
    <mergeCell ref="J2:P2"/>
    <mergeCell ref="Q2:Q4"/>
    <mergeCell ref="R2:R4"/>
    <mergeCell ref="S2:S4"/>
    <mergeCell ref="T2:T4"/>
    <mergeCell ref="U2:U4"/>
    <mergeCell ref="V2:V4"/>
    <mergeCell ref="L3:P3"/>
    <mergeCell ref="B12:D12"/>
    <mergeCell ref="A15:A16"/>
    <mergeCell ref="B15:B16"/>
    <mergeCell ref="C15:C16"/>
    <mergeCell ref="D15:D16"/>
    <mergeCell ref="E15:E16"/>
    <mergeCell ref="J15:J16"/>
    <mergeCell ref="K15:K16"/>
    <mergeCell ref="L15:L16"/>
    <mergeCell ref="D3:D4"/>
    <mergeCell ref="E3:E4"/>
    <mergeCell ref="G3:G4"/>
    <mergeCell ref="H3:H4"/>
    <mergeCell ref="J3:J4"/>
    <mergeCell ref="K3:K4"/>
    <mergeCell ref="T15:T16"/>
    <mergeCell ref="V15:V16"/>
    <mergeCell ref="S15:S16"/>
    <mergeCell ref="A19:A20"/>
    <mergeCell ref="B19:B20"/>
    <mergeCell ref="C19:C20"/>
    <mergeCell ref="D19:D20"/>
    <mergeCell ref="E19:E20"/>
    <mergeCell ref="M15:M16"/>
    <mergeCell ref="N15:N16"/>
    <mergeCell ref="O15:O16"/>
    <mergeCell ref="Q15:Q16"/>
    <mergeCell ref="R15:R16"/>
    <mergeCell ref="P19:P20"/>
    <mergeCell ref="B17:B18"/>
    <mergeCell ref="A17:A18"/>
    <mergeCell ref="V36:V47"/>
    <mergeCell ref="B39:D39"/>
    <mergeCell ref="B49:D49"/>
    <mergeCell ref="R49:R74"/>
    <mergeCell ref="S49:S74"/>
    <mergeCell ref="T49:T74"/>
    <mergeCell ref="V49:V73"/>
    <mergeCell ref="B54:D54"/>
    <mergeCell ref="B59:D59"/>
    <mergeCell ref="S36:S47"/>
    <mergeCell ref="B36:D36"/>
    <mergeCell ref="R36:R47"/>
    <mergeCell ref="D108:E108"/>
    <mergeCell ref="B76:D76"/>
    <mergeCell ref="B79:D79"/>
    <mergeCell ref="B82:D82"/>
    <mergeCell ref="B83:D83"/>
    <mergeCell ref="B98:D98"/>
    <mergeCell ref="D105:E105"/>
    <mergeCell ref="C17:C18"/>
    <mergeCell ref="D17:D18"/>
    <mergeCell ref="U17:U18"/>
    <mergeCell ref="E17:E18"/>
    <mergeCell ref="D107:E107"/>
    <mergeCell ref="J107:L107"/>
    <mergeCell ref="T36:T47"/>
    <mergeCell ref="B33:D33"/>
    <mergeCell ref="B34:D34"/>
    <mergeCell ref="J19:J20"/>
    <mergeCell ref="K19:K20"/>
    <mergeCell ref="L19:L20"/>
    <mergeCell ref="M19:M20"/>
    <mergeCell ref="N19:N20"/>
    <mergeCell ref="O19:O20"/>
  </mergeCells>
  <pageMargins left="0.27559055118110237" right="0.23622047244094491" top="0.51181102362204722" bottom="0.19685039370078741" header="0.15748031496062992" footer="0.15748031496062992"/>
  <pageSetup paperSize="8" scale="53"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34">
    <tabColor rgb="FF00B0F0"/>
  </sheetPr>
  <dimension ref="A1:Y129"/>
  <sheetViews>
    <sheetView view="pageBreakPreview" zoomScale="60" zoomScaleNormal="70" workbookViewId="0">
      <pane xSplit="2" ySplit="5" topLeftCell="C6" activePane="bottomRight" state="frozen"/>
      <selection pane="topRight" activeCell="C1" sqref="C1"/>
      <selection pane="bottomLeft" activeCell="A6" sqref="A6"/>
      <selection pane="bottomRight" activeCell="I116" sqref="I116"/>
    </sheetView>
  </sheetViews>
  <sheetFormatPr defaultRowHeight="15" outlineLevelCol="1"/>
  <cols>
    <col min="1" max="1" width="10.42578125" style="2" customWidth="1"/>
    <col min="2" max="2" width="45.5703125" style="2" customWidth="1"/>
    <col min="3" max="3" width="5" style="2" customWidth="1" outlineLevel="1"/>
    <col min="4" max="4" width="5.28515625" style="2" customWidth="1" outlineLevel="1"/>
    <col min="5" max="5" width="13.7109375" style="2" customWidth="1" outlineLevel="1"/>
    <col min="6" max="6" width="12.85546875" style="2" customWidth="1" outlineLevel="1"/>
    <col min="7" max="7" width="13" style="2" customWidth="1" outlineLevel="1"/>
    <col min="8" max="8" width="15.140625" style="2" customWidth="1" outlineLevel="1"/>
    <col min="9" max="9" width="12.7109375" style="2" customWidth="1" outlineLevel="1"/>
    <col min="10" max="10" width="10.28515625" style="2" customWidth="1" outlineLevel="1"/>
    <col min="11" max="11" width="10.42578125" style="2" customWidth="1" outlineLevel="1"/>
    <col min="12" max="12" width="13.7109375" style="2" customWidth="1" outlineLevel="1"/>
    <col min="13" max="13" width="12" style="2" customWidth="1" outlineLevel="1"/>
    <col min="14" max="15" width="12.28515625" style="2" customWidth="1" outlineLevel="1"/>
    <col min="16" max="16" width="14.5703125" style="2" customWidth="1" outlineLevel="1"/>
    <col min="17" max="18" width="13.7109375" style="2" customWidth="1" outlineLevel="1"/>
    <col min="19" max="19" width="15.7109375" style="2" customWidth="1" outlineLevel="1"/>
    <col min="20" max="20" width="26.28515625" style="2" customWidth="1"/>
    <col min="21" max="21" width="79.5703125" style="2" customWidth="1"/>
    <col min="22" max="22" width="16.42578125" style="2" customWidth="1"/>
    <col min="23" max="23" width="12" style="2" customWidth="1"/>
    <col min="24" max="24" width="2.42578125" style="2" customWidth="1"/>
    <col min="25" max="256" width="9.140625" style="2"/>
    <col min="257" max="257" width="10.42578125" style="2" customWidth="1"/>
    <col min="258" max="258" width="45.5703125" style="2" customWidth="1"/>
    <col min="259" max="259" width="5" style="2" customWidth="1"/>
    <col min="260" max="260" width="5.28515625" style="2" customWidth="1"/>
    <col min="261" max="261" width="13.7109375" style="2" customWidth="1"/>
    <col min="262" max="262" width="12.85546875" style="2" customWidth="1"/>
    <col min="263" max="263" width="13" style="2" customWidth="1"/>
    <col min="264" max="264" width="15.140625" style="2" customWidth="1"/>
    <col min="265" max="265" width="12.7109375" style="2" customWidth="1"/>
    <col min="266" max="266" width="10.28515625" style="2" customWidth="1"/>
    <col min="267" max="267" width="10.42578125" style="2" customWidth="1"/>
    <col min="268" max="268" width="13.7109375" style="2" customWidth="1"/>
    <col min="269" max="269" width="12" style="2" customWidth="1"/>
    <col min="270" max="271" width="12.28515625" style="2" customWidth="1"/>
    <col min="272" max="272" width="14.5703125" style="2" customWidth="1"/>
    <col min="273" max="274" width="13.7109375" style="2" customWidth="1"/>
    <col min="275" max="275" width="15.7109375" style="2" customWidth="1"/>
    <col min="276" max="276" width="26.28515625" style="2" customWidth="1"/>
    <col min="277" max="277" width="79.5703125" style="2" customWidth="1"/>
    <col min="278" max="278" width="16.42578125" style="2" customWidth="1"/>
    <col min="279" max="279" width="12" style="2" customWidth="1"/>
    <col min="280" max="280" width="2.42578125" style="2" customWidth="1"/>
    <col min="281" max="512" width="9.140625" style="2"/>
    <col min="513" max="513" width="10.42578125" style="2" customWidth="1"/>
    <col min="514" max="514" width="45.5703125" style="2" customWidth="1"/>
    <col min="515" max="515" width="5" style="2" customWidth="1"/>
    <col min="516" max="516" width="5.28515625" style="2" customWidth="1"/>
    <col min="517" max="517" width="13.7109375" style="2" customWidth="1"/>
    <col min="518" max="518" width="12.85546875" style="2" customWidth="1"/>
    <col min="519" max="519" width="13" style="2" customWidth="1"/>
    <col min="520" max="520" width="15.140625" style="2" customWidth="1"/>
    <col min="521" max="521" width="12.7109375" style="2" customWidth="1"/>
    <col min="522" max="522" width="10.28515625" style="2" customWidth="1"/>
    <col min="523" max="523" width="10.42578125" style="2" customWidth="1"/>
    <col min="524" max="524" width="13.7109375" style="2" customWidth="1"/>
    <col min="525" max="525" width="12" style="2" customWidth="1"/>
    <col min="526" max="527" width="12.28515625" style="2" customWidth="1"/>
    <col min="528" max="528" width="14.5703125" style="2" customWidth="1"/>
    <col min="529" max="530" width="13.7109375" style="2" customWidth="1"/>
    <col min="531" max="531" width="15.7109375" style="2" customWidth="1"/>
    <col min="532" max="532" width="26.28515625" style="2" customWidth="1"/>
    <col min="533" max="533" width="79.5703125" style="2" customWidth="1"/>
    <col min="534" max="534" width="16.42578125" style="2" customWidth="1"/>
    <col min="535" max="535" width="12" style="2" customWidth="1"/>
    <col min="536" max="536" width="2.42578125" style="2" customWidth="1"/>
    <col min="537" max="768" width="9.140625" style="2"/>
    <col min="769" max="769" width="10.42578125" style="2" customWidth="1"/>
    <col min="770" max="770" width="45.5703125" style="2" customWidth="1"/>
    <col min="771" max="771" width="5" style="2" customWidth="1"/>
    <col min="772" max="772" width="5.28515625" style="2" customWidth="1"/>
    <col min="773" max="773" width="13.7109375" style="2" customWidth="1"/>
    <col min="774" max="774" width="12.85546875" style="2" customWidth="1"/>
    <col min="775" max="775" width="13" style="2" customWidth="1"/>
    <col min="776" max="776" width="15.140625" style="2" customWidth="1"/>
    <col min="777" max="777" width="12.7109375" style="2" customWidth="1"/>
    <col min="778" max="778" width="10.28515625" style="2" customWidth="1"/>
    <col min="779" max="779" width="10.42578125" style="2" customWidth="1"/>
    <col min="780" max="780" width="13.7109375" style="2" customWidth="1"/>
    <col min="781" max="781" width="12" style="2" customWidth="1"/>
    <col min="782" max="783" width="12.28515625" style="2" customWidth="1"/>
    <col min="784" max="784" width="14.5703125" style="2" customWidth="1"/>
    <col min="785" max="786" width="13.7109375" style="2" customWidth="1"/>
    <col min="787" max="787" width="15.7109375" style="2" customWidth="1"/>
    <col min="788" max="788" width="26.28515625" style="2" customWidth="1"/>
    <col min="789" max="789" width="79.5703125" style="2" customWidth="1"/>
    <col min="790" max="790" width="16.42578125" style="2" customWidth="1"/>
    <col min="791" max="791" width="12" style="2" customWidth="1"/>
    <col min="792" max="792" width="2.42578125" style="2" customWidth="1"/>
    <col min="793" max="1024" width="9.140625" style="2"/>
    <col min="1025" max="1025" width="10.42578125" style="2" customWidth="1"/>
    <col min="1026" max="1026" width="45.5703125" style="2" customWidth="1"/>
    <col min="1027" max="1027" width="5" style="2" customWidth="1"/>
    <col min="1028" max="1028" width="5.28515625" style="2" customWidth="1"/>
    <col min="1029" max="1029" width="13.7109375" style="2" customWidth="1"/>
    <col min="1030" max="1030" width="12.85546875" style="2" customWidth="1"/>
    <col min="1031" max="1031" width="13" style="2" customWidth="1"/>
    <col min="1032" max="1032" width="15.140625" style="2" customWidth="1"/>
    <col min="1033" max="1033" width="12.7109375" style="2" customWidth="1"/>
    <col min="1034" max="1034" width="10.28515625" style="2" customWidth="1"/>
    <col min="1035" max="1035" width="10.42578125" style="2" customWidth="1"/>
    <col min="1036" max="1036" width="13.7109375" style="2" customWidth="1"/>
    <col min="1037" max="1037" width="12" style="2" customWidth="1"/>
    <col min="1038" max="1039" width="12.28515625" style="2" customWidth="1"/>
    <col min="1040" max="1040" width="14.5703125" style="2" customWidth="1"/>
    <col min="1041" max="1042" width="13.7109375" style="2" customWidth="1"/>
    <col min="1043" max="1043" width="15.7109375" style="2" customWidth="1"/>
    <col min="1044" max="1044" width="26.28515625" style="2" customWidth="1"/>
    <col min="1045" max="1045" width="79.5703125" style="2" customWidth="1"/>
    <col min="1046" max="1046" width="16.42578125" style="2" customWidth="1"/>
    <col min="1047" max="1047" width="12" style="2" customWidth="1"/>
    <col min="1048" max="1048" width="2.42578125" style="2" customWidth="1"/>
    <col min="1049" max="1280" width="9.140625" style="2"/>
    <col min="1281" max="1281" width="10.42578125" style="2" customWidth="1"/>
    <col min="1282" max="1282" width="45.5703125" style="2" customWidth="1"/>
    <col min="1283" max="1283" width="5" style="2" customWidth="1"/>
    <col min="1284" max="1284" width="5.28515625" style="2" customWidth="1"/>
    <col min="1285" max="1285" width="13.7109375" style="2" customWidth="1"/>
    <col min="1286" max="1286" width="12.85546875" style="2" customWidth="1"/>
    <col min="1287" max="1287" width="13" style="2" customWidth="1"/>
    <col min="1288" max="1288" width="15.140625" style="2" customWidth="1"/>
    <col min="1289" max="1289" width="12.7109375" style="2" customWidth="1"/>
    <col min="1290" max="1290" width="10.28515625" style="2" customWidth="1"/>
    <col min="1291" max="1291" width="10.42578125" style="2" customWidth="1"/>
    <col min="1292" max="1292" width="13.7109375" style="2" customWidth="1"/>
    <col min="1293" max="1293" width="12" style="2" customWidth="1"/>
    <col min="1294" max="1295" width="12.28515625" style="2" customWidth="1"/>
    <col min="1296" max="1296" width="14.5703125" style="2" customWidth="1"/>
    <col min="1297" max="1298" width="13.7109375" style="2" customWidth="1"/>
    <col min="1299" max="1299" width="15.7109375" style="2" customWidth="1"/>
    <col min="1300" max="1300" width="26.28515625" style="2" customWidth="1"/>
    <col min="1301" max="1301" width="79.5703125" style="2" customWidth="1"/>
    <col min="1302" max="1302" width="16.42578125" style="2" customWidth="1"/>
    <col min="1303" max="1303" width="12" style="2" customWidth="1"/>
    <col min="1304" max="1304" width="2.42578125" style="2" customWidth="1"/>
    <col min="1305" max="1536" width="9.140625" style="2"/>
    <col min="1537" max="1537" width="10.42578125" style="2" customWidth="1"/>
    <col min="1538" max="1538" width="45.5703125" style="2" customWidth="1"/>
    <col min="1539" max="1539" width="5" style="2" customWidth="1"/>
    <col min="1540" max="1540" width="5.28515625" style="2" customWidth="1"/>
    <col min="1541" max="1541" width="13.7109375" style="2" customWidth="1"/>
    <col min="1542" max="1542" width="12.85546875" style="2" customWidth="1"/>
    <col min="1543" max="1543" width="13" style="2" customWidth="1"/>
    <col min="1544" max="1544" width="15.140625" style="2" customWidth="1"/>
    <col min="1545" max="1545" width="12.7109375" style="2" customWidth="1"/>
    <col min="1546" max="1546" width="10.28515625" style="2" customWidth="1"/>
    <col min="1547" max="1547" width="10.42578125" style="2" customWidth="1"/>
    <col min="1548" max="1548" width="13.7109375" style="2" customWidth="1"/>
    <col min="1549" max="1549" width="12" style="2" customWidth="1"/>
    <col min="1550" max="1551" width="12.28515625" style="2" customWidth="1"/>
    <col min="1552" max="1552" width="14.5703125" style="2" customWidth="1"/>
    <col min="1553" max="1554" width="13.7109375" style="2" customWidth="1"/>
    <col min="1555" max="1555" width="15.7109375" style="2" customWidth="1"/>
    <col min="1556" max="1556" width="26.28515625" style="2" customWidth="1"/>
    <col min="1557" max="1557" width="79.5703125" style="2" customWidth="1"/>
    <col min="1558" max="1558" width="16.42578125" style="2" customWidth="1"/>
    <col min="1559" max="1559" width="12" style="2" customWidth="1"/>
    <col min="1560" max="1560" width="2.42578125" style="2" customWidth="1"/>
    <col min="1561" max="1792" width="9.140625" style="2"/>
    <col min="1793" max="1793" width="10.42578125" style="2" customWidth="1"/>
    <col min="1794" max="1794" width="45.5703125" style="2" customWidth="1"/>
    <col min="1795" max="1795" width="5" style="2" customWidth="1"/>
    <col min="1796" max="1796" width="5.28515625" style="2" customWidth="1"/>
    <col min="1797" max="1797" width="13.7109375" style="2" customWidth="1"/>
    <col min="1798" max="1798" width="12.85546875" style="2" customWidth="1"/>
    <col min="1799" max="1799" width="13" style="2" customWidth="1"/>
    <col min="1800" max="1800" width="15.140625" style="2" customWidth="1"/>
    <col min="1801" max="1801" width="12.7109375" style="2" customWidth="1"/>
    <col min="1802" max="1802" width="10.28515625" style="2" customWidth="1"/>
    <col min="1803" max="1803" width="10.42578125" style="2" customWidth="1"/>
    <col min="1804" max="1804" width="13.7109375" style="2" customWidth="1"/>
    <col min="1805" max="1805" width="12" style="2" customWidth="1"/>
    <col min="1806" max="1807" width="12.28515625" style="2" customWidth="1"/>
    <col min="1808" max="1808" width="14.5703125" style="2" customWidth="1"/>
    <col min="1809" max="1810" width="13.7109375" style="2" customWidth="1"/>
    <col min="1811" max="1811" width="15.7109375" style="2" customWidth="1"/>
    <col min="1812" max="1812" width="26.28515625" style="2" customWidth="1"/>
    <col min="1813" max="1813" width="79.5703125" style="2" customWidth="1"/>
    <col min="1814" max="1814" width="16.42578125" style="2" customWidth="1"/>
    <col min="1815" max="1815" width="12" style="2" customWidth="1"/>
    <col min="1816" max="1816" width="2.42578125" style="2" customWidth="1"/>
    <col min="1817" max="2048" width="9.140625" style="2"/>
    <col min="2049" max="2049" width="10.42578125" style="2" customWidth="1"/>
    <col min="2050" max="2050" width="45.5703125" style="2" customWidth="1"/>
    <col min="2051" max="2051" width="5" style="2" customWidth="1"/>
    <col min="2052" max="2052" width="5.28515625" style="2" customWidth="1"/>
    <col min="2053" max="2053" width="13.7109375" style="2" customWidth="1"/>
    <col min="2054" max="2054" width="12.85546875" style="2" customWidth="1"/>
    <col min="2055" max="2055" width="13" style="2" customWidth="1"/>
    <col min="2056" max="2056" width="15.140625" style="2" customWidth="1"/>
    <col min="2057" max="2057" width="12.7109375" style="2" customWidth="1"/>
    <col min="2058" max="2058" width="10.28515625" style="2" customWidth="1"/>
    <col min="2059" max="2059" width="10.42578125" style="2" customWidth="1"/>
    <col min="2060" max="2060" width="13.7109375" style="2" customWidth="1"/>
    <col min="2061" max="2061" width="12" style="2" customWidth="1"/>
    <col min="2062" max="2063" width="12.28515625" style="2" customWidth="1"/>
    <col min="2064" max="2064" width="14.5703125" style="2" customWidth="1"/>
    <col min="2065" max="2066" width="13.7109375" style="2" customWidth="1"/>
    <col min="2067" max="2067" width="15.7109375" style="2" customWidth="1"/>
    <col min="2068" max="2068" width="26.28515625" style="2" customWidth="1"/>
    <col min="2069" max="2069" width="79.5703125" style="2" customWidth="1"/>
    <col min="2070" max="2070" width="16.42578125" style="2" customWidth="1"/>
    <col min="2071" max="2071" width="12" style="2" customWidth="1"/>
    <col min="2072" max="2072" width="2.42578125" style="2" customWidth="1"/>
    <col min="2073" max="2304" width="9.140625" style="2"/>
    <col min="2305" max="2305" width="10.42578125" style="2" customWidth="1"/>
    <col min="2306" max="2306" width="45.5703125" style="2" customWidth="1"/>
    <col min="2307" max="2307" width="5" style="2" customWidth="1"/>
    <col min="2308" max="2308" width="5.28515625" style="2" customWidth="1"/>
    <col min="2309" max="2309" width="13.7109375" style="2" customWidth="1"/>
    <col min="2310" max="2310" width="12.85546875" style="2" customWidth="1"/>
    <col min="2311" max="2311" width="13" style="2" customWidth="1"/>
    <col min="2312" max="2312" width="15.140625" style="2" customWidth="1"/>
    <col min="2313" max="2313" width="12.7109375" style="2" customWidth="1"/>
    <col min="2314" max="2314" width="10.28515625" style="2" customWidth="1"/>
    <col min="2315" max="2315" width="10.42578125" style="2" customWidth="1"/>
    <col min="2316" max="2316" width="13.7109375" style="2" customWidth="1"/>
    <col min="2317" max="2317" width="12" style="2" customWidth="1"/>
    <col min="2318" max="2319" width="12.28515625" style="2" customWidth="1"/>
    <col min="2320" max="2320" width="14.5703125" style="2" customWidth="1"/>
    <col min="2321" max="2322" width="13.7109375" style="2" customWidth="1"/>
    <col min="2323" max="2323" width="15.7109375" style="2" customWidth="1"/>
    <col min="2324" max="2324" width="26.28515625" style="2" customWidth="1"/>
    <col min="2325" max="2325" width="79.5703125" style="2" customWidth="1"/>
    <col min="2326" max="2326" width="16.42578125" style="2" customWidth="1"/>
    <col min="2327" max="2327" width="12" style="2" customWidth="1"/>
    <col min="2328" max="2328" width="2.42578125" style="2" customWidth="1"/>
    <col min="2329" max="2560" width="9.140625" style="2"/>
    <col min="2561" max="2561" width="10.42578125" style="2" customWidth="1"/>
    <col min="2562" max="2562" width="45.5703125" style="2" customWidth="1"/>
    <col min="2563" max="2563" width="5" style="2" customWidth="1"/>
    <col min="2564" max="2564" width="5.28515625" style="2" customWidth="1"/>
    <col min="2565" max="2565" width="13.7109375" style="2" customWidth="1"/>
    <col min="2566" max="2566" width="12.85546875" style="2" customWidth="1"/>
    <col min="2567" max="2567" width="13" style="2" customWidth="1"/>
    <col min="2568" max="2568" width="15.140625" style="2" customWidth="1"/>
    <col min="2569" max="2569" width="12.7109375" style="2" customWidth="1"/>
    <col min="2570" max="2570" width="10.28515625" style="2" customWidth="1"/>
    <col min="2571" max="2571" width="10.42578125" style="2" customWidth="1"/>
    <col min="2572" max="2572" width="13.7109375" style="2" customWidth="1"/>
    <col min="2573" max="2573" width="12" style="2" customWidth="1"/>
    <col min="2574" max="2575" width="12.28515625" style="2" customWidth="1"/>
    <col min="2576" max="2576" width="14.5703125" style="2" customWidth="1"/>
    <col min="2577" max="2578" width="13.7109375" style="2" customWidth="1"/>
    <col min="2579" max="2579" width="15.7109375" style="2" customWidth="1"/>
    <col min="2580" max="2580" width="26.28515625" style="2" customWidth="1"/>
    <col min="2581" max="2581" width="79.5703125" style="2" customWidth="1"/>
    <col min="2582" max="2582" width="16.42578125" style="2" customWidth="1"/>
    <col min="2583" max="2583" width="12" style="2" customWidth="1"/>
    <col min="2584" max="2584" width="2.42578125" style="2" customWidth="1"/>
    <col min="2585" max="2816" width="9.140625" style="2"/>
    <col min="2817" max="2817" width="10.42578125" style="2" customWidth="1"/>
    <col min="2818" max="2818" width="45.5703125" style="2" customWidth="1"/>
    <col min="2819" max="2819" width="5" style="2" customWidth="1"/>
    <col min="2820" max="2820" width="5.28515625" style="2" customWidth="1"/>
    <col min="2821" max="2821" width="13.7109375" style="2" customWidth="1"/>
    <col min="2822" max="2822" width="12.85546875" style="2" customWidth="1"/>
    <col min="2823" max="2823" width="13" style="2" customWidth="1"/>
    <col min="2824" max="2824" width="15.140625" style="2" customWidth="1"/>
    <col min="2825" max="2825" width="12.7109375" style="2" customWidth="1"/>
    <col min="2826" max="2826" width="10.28515625" style="2" customWidth="1"/>
    <col min="2827" max="2827" width="10.42578125" style="2" customWidth="1"/>
    <col min="2828" max="2828" width="13.7109375" style="2" customWidth="1"/>
    <col min="2829" max="2829" width="12" style="2" customWidth="1"/>
    <col min="2830" max="2831" width="12.28515625" style="2" customWidth="1"/>
    <col min="2832" max="2832" width="14.5703125" style="2" customWidth="1"/>
    <col min="2833" max="2834" width="13.7109375" style="2" customWidth="1"/>
    <col min="2835" max="2835" width="15.7109375" style="2" customWidth="1"/>
    <col min="2836" max="2836" width="26.28515625" style="2" customWidth="1"/>
    <col min="2837" max="2837" width="79.5703125" style="2" customWidth="1"/>
    <col min="2838" max="2838" width="16.42578125" style="2" customWidth="1"/>
    <col min="2839" max="2839" width="12" style="2" customWidth="1"/>
    <col min="2840" max="2840" width="2.42578125" style="2" customWidth="1"/>
    <col min="2841" max="3072" width="9.140625" style="2"/>
    <col min="3073" max="3073" width="10.42578125" style="2" customWidth="1"/>
    <col min="3074" max="3074" width="45.5703125" style="2" customWidth="1"/>
    <col min="3075" max="3075" width="5" style="2" customWidth="1"/>
    <col min="3076" max="3076" width="5.28515625" style="2" customWidth="1"/>
    <col min="3077" max="3077" width="13.7109375" style="2" customWidth="1"/>
    <col min="3078" max="3078" width="12.85546875" style="2" customWidth="1"/>
    <col min="3079" max="3079" width="13" style="2" customWidth="1"/>
    <col min="3080" max="3080" width="15.140625" style="2" customWidth="1"/>
    <col min="3081" max="3081" width="12.7109375" style="2" customWidth="1"/>
    <col min="3082" max="3082" width="10.28515625" style="2" customWidth="1"/>
    <col min="3083" max="3083" width="10.42578125" style="2" customWidth="1"/>
    <col min="3084" max="3084" width="13.7109375" style="2" customWidth="1"/>
    <col min="3085" max="3085" width="12" style="2" customWidth="1"/>
    <col min="3086" max="3087" width="12.28515625" style="2" customWidth="1"/>
    <col min="3088" max="3088" width="14.5703125" style="2" customWidth="1"/>
    <col min="3089" max="3090" width="13.7109375" style="2" customWidth="1"/>
    <col min="3091" max="3091" width="15.7109375" style="2" customWidth="1"/>
    <col min="3092" max="3092" width="26.28515625" style="2" customWidth="1"/>
    <col min="3093" max="3093" width="79.5703125" style="2" customWidth="1"/>
    <col min="3094" max="3094" width="16.42578125" style="2" customWidth="1"/>
    <col min="3095" max="3095" width="12" style="2" customWidth="1"/>
    <col min="3096" max="3096" width="2.42578125" style="2" customWidth="1"/>
    <col min="3097" max="3328" width="9.140625" style="2"/>
    <col min="3329" max="3329" width="10.42578125" style="2" customWidth="1"/>
    <col min="3330" max="3330" width="45.5703125" style="2" customWidth="1"/>
    <col min="3331" max="3331" width="5" style="2" customWidth="1"/>
    <col min="3332" max="3332" width="5.28515625" style="2" customWidth="1"/>
    <col min="3333" max="3333" width="13.7109375" style="2" customWidth="1"/>
    <col min="3334" max="3334" width="12.85546875" style="2" customWidth="1"/>
    <col min="3335" max="3335" width="13" style="2" customWidth="1"/>
    <col min="3336" max="3336" width="15.140625" style="2" customWidth="1"/>
    <col min="3337" max="3337" width="12.7109375" style="2" customWidth="1"/>
    <col min="3338" max="3338" width="10.28515625" style="2" customWidth="1"/>
    <col min="3339" max="3339" width="10.42578125" style="2" customWidth="1"/>
    <col min="3340" max="3340" width="13.7109375" style="2" customWidth="1"/>
    <col min="3341" max="3341" width="12" style="2" customWidth="1"/>
    <col min="3342" max="3343" width="12.28515625" style="2" customWidth="1"/>
    <col min="3344" max="3344" width="14.5703125" style="2" customWidth="1"/>
    <col min="3345" max="3346" width="13.7109375" style="2" customWidth="1"/>
    <col min="3347" max="3347" width="15.7109375" style="2" customWidth="1"/>
    <col min="3348" max="3348" width="26.28515625" style="2" customWidth="1"/>
    <col min="3349" max="3349" width="79.5703125" style="2" customWidth="1"/>
    <col min="3350" max="3350" width="16.42578125" style="2" customWidth="1"/>
    <col min="3351" max="3351" width="12" style="2" customWidth="1"/>
    <col min="3352" max="3352" width="2.42578125" style="2" customWidth="1"/>
    <col min="3353" max="3584" width="9.140625" style="2"/>
    <col min="3585" max="3585" width="10.42578125" style="2" customWidth="1"/>
    <col min="3586" max="3586" width="45.5703125" style="2" customWidth="1"/>
    <col min="3587" max="3587" width="5" style="2" customWidth="1"/>
    <col min="3588" max="3588" width="5.28515625" style="2" customWidth="1"/>
    <col min="3589" max="3589" width="13.7109375" style="2" customWidth="1"/>
    <col min="3590" max="3590" width="12.85546875" style="2" customWidth="1"/>
    <col min="3591" max="3591" width="13" style="2" customWidth="1"/>
    <col min="3592" max="3592" width="15.140625" style="2" customWidth="1"/>
    <col min="3593" max="3593" width="12.7109375" style="2" customWidth="1"/>
    <col min="3594" max="3594" width="10.28515625" style="2" customWidth="1"/>
    <col min="3595" max="3595" width="10.42578125" style="2" customWidth="1"/>
    <col min="3596" max="3596" width="13.7109375" style="2" customWidth="1"/>
    <col min="3597" max="3597" width="12" style="2" customWidth="1"/>
    <col min="3598" max="3599" width="12.28515625" style="2" customWidth="1"/>
    <col min="3600" max="3600" width="14.5703125" style="2" customWidth="1"/>
    <col min="3601" max="3602" width="13.7109375" style="2" customWidth="1"/>
    <col min="3603" max="3603" width="15.7109375" style="2" customWidth="1"/>
    <col min="3604" max="3604" width="26.28515625" style="2" customWidth="1"/>
    <col min="3605" max="3605" width="79.5703125" style="2" customWidth="1"/>
    <col min="3606" max="3606" width="16.42578125" style="2" customWidth="1"/>
    <col min="3607" max="3607" width="12" style="2" customWidth="1"/>
    <col min="3608" max="3608" width="2.42578125" style="2" customWidth="1"/>
    <col min="3609" max="3840" width="9.140625" style="2"/>
    <col min="3841" max="3841" width="10.42578125" style="2" customWidth="1"/>
    <col min="3842" max="3842" width="45.5703125" style="2" customWidth="1"/>
    <col min="3843" max="3843" width="5" style="2" customWidth="1"/>
    <col min="3844" max="3844" width="5.28515625" style="2" customWidth="1"/>
    <col min="3845" max="3845" width="13.7109375" style="2" customWidth="1"/>
    <col min="3846" max="3846" width="12.85546875" style="2" customWidth="1"/>
    <col min="3847" max="3847" width="13" style="2" customWidth="1"/>
    <col min="3848" max="3848" width="15.140625" style="2" customWidth="1"/>
    <col min="3849" max="3849" width="12.7109375" style="2" customWidth="1"/>
    <col min="3850" max="3850" width="10.28515625" style="2" customWidth="1"/>
    <col min="3851" max="3851" width="10.42578125" style="2" customWidth="1"/>
    <col min="3852" max="3852" width="13.7109375" style="2" customWidth="1"/>
    <col min="3853" max="3853" width="12" style="2" customWidth="1"/>
    <col min="3854" max="3855" width="12.28515625" style="2" customWidth="1"/>
    <col min="3856" max="3856" width="14.5703125" style="2" customWidth="1"/>
    <col min="3857" max="3858" width="13.7109375" style="2" customWidth="1"/>
    <col min="3859" max="3859" width="15.7109375" style="2" customWidth="1"/>
    <col min="3860" max="3860" width="26.28515625" style="2" customWidth="1"/>
    <col min="3861" max="3861" width="79.5703125" style="2" customWidth="1"/>
    <col min="3862" max="3862" width="16.42578125" style="2" customWidth="1"/>
    <col min="3863" max="3863" width="12" style="2" customWidth="1"/>
    <col min="3864" max="3864" width="2.42578125" style="2" customWidth="1"/>
    <col min="3865" max="4096" width="9.140625" style="2"/>
    <col min="4097" max="4097" width="10.42578125" style="2" customWidth="1"/>
    <col min="4098" max="4098" width="45.5703125" style="2" customWidth="1"/>
    <col min="4099" max="4099" width="5" style="2" customWidth="1"/>
    <col min="4100" max="4100" width="5.28515625" style="2" customWidth="1"/>
    <col min="4101" max="4101" width="13.7109375" style="2" customWidth="1"/>
    <col min="4102" max="4102" width="12.85546875" style="2" customWidth="1"/>
    <col min="4103" max="4103" width="13" style="2" customWidth="1"/>
    <col min="4104" max="4104" width="15.140625" style="2" customWidth="1"/>
    <col min="4105" max="4105" width="12.7109375" style="2" customWidth="1"/>
    <col min="4106" max="4106" width="10.28515625" style="2" customWidth="1"/>
    <col min="4107" max="4107" width="10.42578125" style="2" customWidth="1"/>
    <col min="4108" max="4108" width="13.7109375" style="2" customWidth="1"/>
    <col min="4109" max="4109" width="12" style="2" customWidth="1"/>
    <col min="4110" max="4111" width="12.28515625" style="2" customWidth="1"/>
    <col min="4112" max="4112" width="14.5703125" style="2" customWidth="1"/>
    <col min="4113" max="4114" width="13.7109375" style="2" customWidth="1"/>
    <col min="4115" max="4115" width="15.7109375" style="2" customWidth="1"/>
    <col min="4116" max="4116" width="26.28515625" style="2" customWidth="1"/>
    <col min="4117" max="4117" width="79.5703125" style="2" customWidth="1"/>
    <col min="4118" max="4118" width="16.42578125" style="2" customWidth="1"/>
    <col min="4119" max="4119" width="12" style="2" customWidth="1"/>
    <col min="4120" max="4120" width="2.42578125" style="2" customWidth="1"/>
    <col min="4121" max="4352" width="9.140625" style="2"/>
    <col min="4353" max="4353" width="10.42578125" style="2" customWidth="1"/>
    <col min="4354" max="4354" width="45.5703125" style="2" customWidth="1"/>
    <col min="4355" max="4355" width="5" style="2" customWidth="1"/>
    <col min="4356" max="4356" width="5.28515625" style="2" customWidth="1"/>
    <col min="4357" max="4357" width="13.7109375" style="2" customWidth="1"/>
    <col min="4358" max="4358" width="12.85546875" style="2" customWidth="1"/>
    <col min="4359" max="4359" width="13" style="2" customWidth="1"/>
    <col min="4360" max="4360" width="15.140625" style="2" customWidth="1"/>
    <col min="4361" max="4361" width="12.7109375" style="2" customWidth="1"/>
    <col min="4362" max="4362" width="10.28515625" style="2" customWidth="1"/>
    <col min="4363" max="4363" width="10.42578125" style="2" customWidth="1"/>
    <col min="4364" max="4364" width="13.7109375" style="2" customWidth="1"/>
    <col min="4365" max="4365" width="12" style="2" customWidth="1"/>
    <col min="4366" max="4367" width="12.28515625" style="2" customWidth="1"/>
    <col min="4368" max="4368" width="14.5703125" style="2" customWidth="1"/>
    <col min="4369" max="4370" width="13.7109375" style="2" customWidth="1"/>
    <col min="4371" max="4371" width="15.7109375" style="2" customWidth="1"/>
    <col min="4372" max="4372" width="26.28515625" style="2" customWidth="1"/>
    <col min="4373" max="4373" width="79.5703125" style="2" customWidth="1"/>
    <col min="4374" max="4374" width="16.42578125" style="2" customWidth="1"/>
    <col min="4375" max="4375" width="12" style="2" customWidth="1"/>
    <col min="4376" max="4376" width="2.42578125" style="2" customWidth="1"/>
    <col min="4377" max="4608" width="9.140625" style="2"/>
    <col min="4609" max="4609" width="10.42578125" style="2" customWidth="1"/>
    <col min="4610" max="4610" width="45.5703125" style="2" customWidth="1"/>
    <col min="4611" max="4611" width="5" style="2" customWidth="1"/>
    <col min="4612" max="4612" width="5.28515625" style="2" customWidth="1"/>
    <col min="4613" max="4613" width="13.7109375" style="2" customWidth="1"/>
    <col min="4614" max="4614" width="12.85546875" style="2" customWidth="1"/>
    <col min="4615" max="4615" width="13" style="2" customWidth="1"/>
    <col min="4616" max="4616" width="15.140625" style="2" customWidth="1"/>
    <col min="4617" max="4617" width="12.7109375" style="2" customWidth="1"/>
    <col min="4618" max="4618" width="10.28515625" style="2" customWidth="1"/>
    <col min="4619" max="4619" width="10.42578125" style="2" customWidth="1"/>
    <col min="4620" max="4620" width="13.7109375" style="2" customWidth="1"/>
    <col min="4621" max="4621" width="12" style="2" customWidth="1"/>
    <col min="4622" max="4623" width="12.28515625" style="2" customWidth="1"/>
    <col min="4624" max="4624" width="14.5703125" style="2" customWidth="1"/>
    <col min="4625" max="4626" width="13.7109375" style="2" customWidth="1"/>
    <col min="4627" max="4627" width="15.7109375" style="2" customWidth="1"/>
    <col min="4628" max="4628" width="26.28515625" style="2" customWidth="1"/>
    <col min="4629" max="4629" width="79.5703125" style="2" customWidth="1"/>
    <col min="4630" max="4630" width="16.42578125" style="2" customWidth="1"/>
    <col min="4631" max="4631" width="12" style="2" customWidth="1"/>
    <col min="4632" max="4632" width="2.42578125" style="2" customWidth="1"/>
    <col min="4633" max="4864" width="9.140625" style="2"/>
    <col min="4865" max="4865" width="10.42578125" style="2" customWidth="1"/>
    <col min="4866" max="4866" width="45.5703125" style="2" customWidth="1"/>
    <col min="4867" max="4867" width="5" style="2" customWidth="1"/>
    <col min="4868" max="4868" width="5.28515625" style="2" customWidth="1"/>
    <col min="4869" max="4869" width="13.7109375" style="2" customWidth="1"/>
    <col min="4870" max="4870" width="12.85546875" style="2" customWidth="1"/>
    <col min="4871" max="4871" width="13" style="2" customWidth="1"/>
    <col min="4872" max="4872" width="15.140625" style="2" customWidth="1"/>
    <col min="4873" max="4873" width="12.7109375" style="2" customWidth="1"/>
    <col min="4874" max="4874" width="10.28515625" style="2" customWidth="1"/>
    <col min="4875" max="4875" width="10.42578125" style="2" customWidth="1"/>
    <col min="4876" max="4876" width="13.7109375" style="2" customWidth="1"/>
    <col min="4877" max="4877" width="12" style="2" customWidth="1"/>
    <col min="4878" max="4879" width="12.28515625" style="2" customWidth="1"/>
    <col min="4880" max="4880" width="14.5703125" style="2" customWidth="1"/>
    <col min="4881" max="4882" width="13.7109375" style="2" customWidth="1"/>
    <col min="4883" max="4883" width="15.7109375" style="2" customWidth="1"/>
    <col min="4884" max="4884" width="26.28515625" style="2" customWidth="1"/>
    <col min="4885" max="4885" width="79.5703125" style="2" customWidth="1"/>
    <col min="4886" max="4886" width="16.42578125" style="2" customWidth="1"/>
    <col min="4887" max="4887" width="12" style="2" customWidth="1"/>
    <col min="4888" max="4888" width="2.42578125" style="2" customWidth="1"/>
    <col min="4889" max="5120" width="9.140625" style="2"/>
    <col min="5121" max="5121" width="10.42578125" style="2" customWidth="1"/>
    <col min="5122" max="5122" width="45.5703125" style="2" customWidth="1"/>
    <col min="5123" max="5123" width="5" style="2" customWidth="1"/>
    <col min="5124" max="5124" width="5.28515625" style="2" customWidth="1"/>
    <col min="5125" max="5125" width="13.7109375" style="2" customWidth="1"/>
    <col min="5126" max="5126" width="12.85546875" style="2" customWidth="1"/>
    <col min="5127" max="5127" width="13" style="2" customWidth="1"/>
    <col min="5128" max="5128" width="15.140625" style="2" customWidth="1"/>
    <col min="5129" max="5129" width="12.7109375" style="2" customWidth="1"/>
    <col min="5130" max="5130" width="10.28515625" style="2" customWidth="1"/>
    <col min="5131" max="5131" width="10.42578125" style="2" customWidth="1"/>
    <col min="5132" max="5132" width="13.7109375" style="2" customWidth="1"/>
    <col min="5133" max="5133" width="12" style="2" customWidth="1"/>
    <col min="5134" max="5135" width="12.28515625" style="2" customWidth="1"/>
    <col min="5136" max="5136" width="14.5703125" style="2" customWidth="1"/>
    <col min="5137" max="5138" width="13.7109375" style="2" customWidth="1"/>
    <col min="5139" max="5139" width="15.7109375" style="2" customWidth="1"/>
    <col min="5140" max="5140" width="26.28515625" style="2" customWidth="1"/>
    <col min="5141" max="5141" width="79.5703125" style="2" customWidth="1"/>
    <col min="5142" max="5142" width="16.42578125" style="2" customWidth="1"/>
    <col min="5143" max="5143" width="12" style="2" customWidth="1"/>
    <col min="5144" max="5144" width="2.42578125" style="2" customWidth="1"/>
    <col min="5145" max="5376" width="9.140625" style="2"/>
    <col min="5377" max="5377" width="10.42578125" style="2" customWidth="1"/>
    <col min="5378" max="5378" width="45.5703125" style="2" customWidth="1"/>
    <col min="5379" max="5379" width="5" style="2" customWidth="1"/>
    <col min="5380" max="5380" width="5.28515625" style="2" customWidth="1"/>
    <col min="5381" max="5381" width="13.7109375" style="2" customWidth="1"/>
    <col min="5382" max="5382" width="12.85546875" style="2" customWidth="1"/>
    <col min="5383" max="5383" width="13" style="2" customWidth="1"/>
    <col min="5384" max="5384" width="15.140625" style="2" customWidth="1"/>
    <col min="5385" max="5385" width="12.7109375" style="2" customWidth="1"/>
    <col min="5386" max="5386" width="10.28515625" style="2" customWidth="1"/>
    <col min="5387" max="5387" width="10.42578125" style="2" customWidth="1"/>
    <col min="5388" max="5388" width="13.7109375" style="2" customWidth="1"/>
    <col min="5389" max="5389" width="12" style="2" customWidth="1"/>
    <col min="5390" max="5391" width="12.28515625" style="2" customWidth="1"/>
    <col min="5392" max="5392" width="14.5703125" style="2" customWidth="1"/>
    <col min="5393" max="5394" width="13.7109375" style="2" customWidth="1"/>
    <col min="5395" max="5395" width="15.7109375" style="2" customWidth="1"/>
    <col min="5396" max="5396" width="26.28515625" style="2" customWidth="1"/>
    <col min="5397" max="5397" width="79.5703125" style="2" customWidth="1"/>
    <col min="5398" max="5398" width="16.42578125" style="2" customWidth="1"/>
    <col min="5399" max="5399" width="12" style="2" customWidth="1"/>
    <col min="5400" max="5400" width="2.42578125" style="2" customWidth="1"/>
    <col min="5401" max="5632" width="9.140625" style="2"/>
    <col min="5633" max="5633" width="10.42578125" style="2" customWidth="1"/>
    <col min="5634" max="5634" width="45.5703125" style="2" customWidth="1"/>
    <col min="5635" max="5635" width="5" style="2" customWidth="1"/>
    <col min="5636" max="5636" width="5.28515625" style="2" customWidth="1"/>
    <col min="5637" max="5637" width="13.7109375" style="2" customWidth="1"/>
    <col min="5638" max="5638" width="12.85546875" style="2" customWidth="1"/>
    <col min="5639" max="5639" width="13" style="2" customWidth="1"/>
    <col min="5640" max="5640" width="15.140625" style="2" customWidth="1"/>
    <col min="5641" max="5641" width="12.7109375" style="2" customWidth="1"/>
    <col min="5642" max="5642" width="10.28515625" style="2" customWidth="1"/>
    <col min="5643" max="5643" width="10.42578125" style="2" customWidth="1"/>
    <col min="5644" max="5644" width="13.7109375" style="2" customWidth="1"/>
    <col min="5645" max="5645" width="12" style="2" customWidth="1"/>
    <col min="5646" max="5647" width="12.28515625" style="2" customWidth="1"/>
    <col min="5648" max="5648" width="14.5703125" style="2" customWidth="1"/>
    <col min="5649" max="5650" width="13.7109375" style="2" customWidth="1"/>
    <col min="5651" max="5651" width="15.7109375" style="2" customWidth="1"/>
    <col min="5652" max="5652" width="26.28515625" style="2" customWidth="1"/>
    <col min="5653" max="5653" width="79.5703125" style="2" customWidth="1"/>
    <col min="5654" max="5654" width="16.42578125" style="2" customWidth="1"/>
    <col min="5655" max="5655" width="12" style="2" customWidth="1"/>
    <col min="5656" max="5656" width="2.42578125" style="2" customWidth="1"/>
    <col min="5657" max="5888" width="9.140625" style="2"/>
    <col min="5889" max="5889" width="10.42578125" style="2" customWidth="1"/>
    <col min="5890" max="5890" width="45.5703125" style="2" customWidth="1"/>
    <col min="5891" max="5891" width="5" style="2" customWidth="1"/>
    <col min="5892" max="5892" width="5.28515625" style="2" customWidth="1"/>
    <col min="5893" max="5893" width="13.7109375" style="2" customWidth="1"/>
    <col min="5894" max="5894" width="12.85546875" style="2" customWidth="1"/>
    <col min="5895" max="5895" width="13" style="2" customWidth="1"/>
    <col min="5896" max="5896" width="15.140625" style="2" customWidth="1"/>
    <col min="5897" max="5897" width="12.7109375" style="2" customWidth="1"/>
    <col min="5898" max="5898" width="10.28515625" style="2" customWidth="1"/>
    <col min="5899" max="5899" width="10.42578125" style="2" customWidth="1"/>
    <col min="5900" max="5900" width="13.7109375" style="2" customWidth="1"/>
    <col min="5901" max="5901" width="12" style="2" customWidth="1"/>
    <col min="5902" max="5903" width="12.28515625" style="2" customWidth="1"/>
    <col min="5904" max="5904" width="14.5703125" style="2" customWidth="1"/>
    <col min="5905" max="5906" width="13.7109375" style="2" customWidth="1"/>
    <col min="5907" max="5907" width="15.7109375" style="2" customWidth="1"/>
    <col min="5908" max="5908" width="26.28515625" style="2" customWidth="1"/>
    <col min="5909" max="5909" width="79.5703125" style="2" customWidth="1"/>
    <col min="5910" max="5910" width="16.42578125" style="2" customWidth="1"/>
    <col min="5911" max="5911" width="12" style="2" customWidth="1"/>
    <col min="5912" max="5912" width="2.42578125" style="2" customWidth="1"/>
    <col min="5913" max="6144" width="9.140625" style="2"/>
    <col min="6145" max="6145" width="10.42578125" style="2" customWidth="1"/>
    <col min="6146" max="6146" width="45.5703125" style="2" customWidth="1"/>
    <col min="6147" max="6147" width="5" style="2" customWidth="1"/>
    <col min="6148" max="6148" width="5.28515625" style="2" customWidth="1"/>
    <col min="6149" max="6149" width="13.7109375" style="2" customWidth="1"/>
    <col min="6150" max="6150" width="12.85546875" style="2" customWidth="1"/>
    <col min="6151" max="6151" width="13" style="2" customWidth="1"/>
    <col min="6152" max="6152" width="15.140625" style="2" customWidth="1"/>
    <col min="6153" max="6153" width="12.7109375" style="2" customWidth="1"/>
    <col min="6154" max="6154" width="10.28515625" style="2" customWidth="1"/>
    <col min="6155" max="6155" width="10.42578125" style="2" customWidth="1"/>
    <col min="6156" max="6156" width="13.7109375" style="2" customWidth="1"/>
    <col min="6157" max="6157" width="12" style="2" customWidth="1"/>
    <col min="6158" max="6159" width="12.28515625" style="2" customWidth="1"/>
    <col min="6160" max="6160" width="14.5703125" style="2" customWidth="1"/>
    <col min="6161" max="6162" width="13.7109375" style="2" customWidth="1"/>
    <col min="6163" max="6163" width="15.7109375" style="2" customWidth="1"/>
    <col min="6164" max="6164" width="26.28515625" style="2" customWidth="1"/>
    <col min="6165" max="6165" width="79.5703125" style="2" customWidth="1"/>
    <col min="6166" max="6166" width="16.42578125" style="2" customWidth="1"/>
    <col min="6167" max="6167" width="12" style="2" customWidth="1"/>
    <col min="6168" max="6168" width="2.42578125" style="2" customWidth="1"/>
    <col min="6169" max="6400" width="9.140625" style="2"/>
    <col min="6401" max="6401" width="10.42578125" style="2" customWidth="1"/>
    <col min="6402" max="6402" width="45.5703125" style="2" customWidth="1"/>
    <col min="6403" max="6403" width="5" style="2" customWidth="1"/>
    <col min="6404" max="6404" width="5.28515625" style="2" customWidth="1"/>
    <col min="6405" max="6405" width="13.7109375" style="2" customWidth="1"/>
    <col min="6406" max="6406" width="12.85546875" style="2" customWidth="1"/>
    <col min="6407" max="6407" width="13" style="2" customWidth="1"/>
    <col min="6408" max="6408" width="15.140625" style="2" customWidth="1"/>
    <col min="6409" max="6409" width="12.7109375" style="2" customWidth="1"/>
    <col min="6410" max="6410" width="10.28515625" style="2" customWidth="1"/>
    <col min="6411" max="6411" width="10.42578125" style="2" customWidth="1"/>
    <col min="6412" max="6412" width="13.7109375" style="2" customWidth="1"/>
    <col min="6413" max="6413" width="12" style="2" customWidth="1"/>
    <col min="6414" max="6415" width="12.28515625" style="2" customWidth="1"/>
    <col min="6416" max="6416" width="14.5703125" style="2" customWidth="1"/>
    <col min="6417" max="6418" width="13.7109375" style="2" customWidth="1"/>
    <col min="6419" max="6419" width="15.7109375" style="2" customWidth="1"/>
    <col min="6420" max="6420" width="26.28515625" style="2" customWidth="1"/>
    <col min="6421" max="6421" width="79.5703125" style="2" customWidth="1"/>
    <col min="6422" max="6422" width="16.42578125" style="2" customWidth="1"/>
    <col min="6423" max="6423" width="12" style="2" customWidth="1"/>
    <col min="6424" max="6424" width="2.42578125" style="2" customWidth="1"/>
    <col min="6425" max="6656" width="9.140625" style="2"/>
    <col min="6657" max="6657" width="10.42578125" style="2" customWidth="1"/>
    <col min="6658" max="6658" width="45.5703125" style="2" customWidth="1"/>
    <col min="6659" max="6659" width="5" style="2" customWidth="1"/>
    <col min="6660" max="6660" width="5.28515625" style="2" customWidth="1"/>
    <col min="6661" max="6661" width="13.7109375" style="2" customWidth="1"/>
    <col min="6662" max="6662" width="12.85546875" style="2" customWidth="1"/>
    <col min="6663" max="6663" width="13" style="2" customWidth="1"/>
    <col min="6664" max="6664" width="15.140625" style="2" customWidth="1"/>
    <col min="6665" max="6665" width="12.7109375" style="2" customWidth="1"/>
    <col min="6666" max="6666" width="10.28515625" style="2" customWidth="1"/>
    <col min="6667" max="6667" width="10.42578125" style="2" customWidth="1"/>
    <col min="6668" max="6668" width="13.7109375" style="2" customWidth="1"/>
    <col min="6669" max="6669" width="12" style="2" customWidth="1"/>
    <col min="6670" max="6671" width="12.28515625" style="2" customWidth="1"/>
    <col min="6672" max="6672" width="14.5703125" style="2" customWidth="1"/>
    <col min="6673" max="6674" width="13.7109375" style="2" customWidth="1"/>
    <col min="6675" max="6675" width="15.7109375" style="2" customWidth="1"/>
    <col min="6676" max="6676" width="26.28515625" style="2" customWidth="1"/>
    <col min="6677" max="6677" width="79.5703125" style="2" customWidth="1"/>
    <col min="6678" max="6678" width="16.42578125" style="2" customWidth="1"/>
    <col min="6679" max="6679" width="12" style="2" customWidth="1"/>
    <col min="6680" max="6680" width="2.42578125" style="2" customWidth="1"/>
    <col min="6681" max="6912" width="9.140625" style="2"/>
    <col min="6913" max="6913" width="10.42578125" style="2" customWidth="1"/>
    <col min="6914" max="6914" width="45.5703125" style="2" customWidth="1"/>
    <col min="6915" max="6915" width="5" style="2" customWidth="1"/>
    <col min="6916" max="6916" width="5.28515625" style="2" customWidth="1"/>
    <col min="6917" max="6917" width="13.7109375" style="2" customWidth="1"/>
    <col min="6918" max="6918" width="12.85546875" style="2" customWidth="1"/>
    <col min="6919" max="6919" width="13" style="2" customWidth="1"/>
    <col min="6920" max="6920" width="15.140625" style="2" customWidth="1"/>
    <col min="6921" max="6921" width="12.7109375" style="2" customWidth="1"/>
    <col min="6922" max="6922" width="10.28515625" style="2" customWidth="1"/>
    <col min="6923" max="6923" width="10.42578125" style="2" customWidth="1"/>
    <col min="6924" max="6924" width="13.7109375" style="2" customWidth="1"/>
    <col min="6925" max="6925" width="12" style="2" customWidth="1"/>
    <col min="6926" max="6927" width="12.28515625" style="2" customWidth="1"/>
    <col min="6928" max="6928" width="14.5703125" style="2" customWidth="1"/>
    <col min="6929" max="6930" width="13.7109375" style="2" customWidth="1"/>
    <col min="6931" max="6931" width="15.7109375" style="2" customWidth="1"/>
    <col min="6932" max="6932" width="26.28515625" style="2" customWidth="1"/>
    <col min="6933" max="6933" width="79.5703125" style="2" customWidth="1"/>
    <col min="6934" max="6934" width="16.42578125" style="2" customWidth="1"/>
    <col min="6935" max="6935" width="12" style="2" customWidth="1"/>
    <col min="6936" max="6936" width="2.42578125" style="2" customWidth="1"/>
    <col min="6937" max="7168" width="9.140625" style="2"/>
    <col min="7169" max="7169" width="10.42578125" style="2" customWidth="1"/>
    <col min="7170" max="7170" width="45.5703125" style="2" customWidth="1"/>
    <col min="7171" max="7171" width="5" style="2" customWidth="1"/>
    <col min="7172" max="7172" width="5.28515625" style="2" customWidth="1"/>
    <col min="7173" max="7173" width="13.7109375" style="2" customWidth="1"/>
    <col min="7174" max="7174" width="12.85546875" style="2" customWidth="1"/>
    <col min="7175" max="7175" width="13" style="2" customWidth="1"/>
    <col min="7176" max="7176" width="15.140625" style="2" customWidth="1"/>
    <col min="7177" max="7177" width="12.7109375" style="2" customWidth="1"/>
    <col min="7178" max="7178" width="10.28515625" style="2" customWidth="1"/>
    <col min="7179" max="7179" width="10.42578125" style="2" customWidth="1"/>
    <col min="7180" max="7180" width="13.7109375" style="2" customWidth="1"/>
    <col min="7181" max="7181" width="12" style="2" customWidth="1"/>
    <col min="7182" max="7183" width="12.28515625" style="2" customWidth="1"/>
    <col min="7184" max="7184" width="14.5703125" style="2" customWidth="1"/>
    <col min="7185" max="7186" width="13.7109375" style="2" customWidth="1"/>
    <col min="7187" max="7187" width="15.7109375" style="2" customWidth="1"/>
    <col min="7188" max="7188" width="26.28515625" style="2" customWidth="1"/>
    <col min="7189" max="7189" width="79.5703125" style="2" customWidth="1"/>
    <col min="7190" max="7190" width="16.42578125" style="2" customWidth="1"/>
    <col min="7191" max="7191" width="12" style="2" customWidth="1"/>
    <col min="7192" max="7192" width="2.42578125" style="2" customWidth="1"/>
    <col min="7193" max="7424" width="9.140625" style="2"/>
    <col min="7425" max="7425" width="10.42578125" style="2" customWidth="1"/>
    <col min="7426" max="7426" width="45.5703125" style="2" customWidth="1"/>
    <col min="7427" max="7427" width="5" style="2" customWidth="1"/>
    <col min="7428" max="7428" width="5.28515625" style="2" customWidth="1"/>
    <col min="7429" max="7429" width="13.7109375" style="2" customWidth="1"/>
    <col min="7430" max="7430" width="12.85546875" style="2" customWidth="1"/>
    <col min="7431" max="7431" width="13" style="2" customWidth="1"/>
    <col min="7432" max="7432" width="15.140625" style="2" customWidth="1"/>
    <col min="7433" max="7433" width="12.7109375" style="2" customWidth="1"/>
    <col min="7434" max="7434" width="10.28515625" style="2" customWidth="1"/>
    <col min="7435" max="7435" width="10.42578125" style="2" customWidth="1"/>
    <col min="7436" max="7436" width="13.7109375" style="2" customWidth="1"/>
    <col min="7437" max="7437" width="12" style="2" customWidth="1"/>
    <col min="7438" max="7439" width="12.28515625" style="2" customWidth="1"/>
    <col min="7440" max="7440" width="14.5703125" style="2" customWidth="1"/>
    <col min="7441" max="7442" width="13.7109375" style="2" customWidth="1"/>
    <col min="7443" max="7443" width="15.7109375" style="2" customWidth="1"/>
    <col min="7444" max="7444" width="26.28515625" style="2" customWidth="1"/>
    <col min="7445" max="7445" width="79.5703125" style="2" customWidth="1"/>
    <col min="7446" max="7446" width="16.42578125" style="2" customWidth="1"/>
    <col min="7447" max="7447" width="12" style="2" customWidth="1"/>
    <col min="7448" max="7448" width="2.42578125" style="2" customWidth="1"/>
    <col min="7449" max="7680" width="9.140625" style="2"/>
    <col min="7681" max="7681" width="10.42578125" style="2" customWidth="1"/>
    <col min="7682" max="7682" width="45.5703125" style="2" customWidth="1"/>
    <col min="7683" max="7683" width="5" style="2" customWidth="1"/>
    <col min="7684" max="7684" width="5.28515625" style="2" customWidth="1"/>
    <col min="7685" max="7685" width="13.7109375" style="2" customWidth="1"/>
    <col min="7686" max="7686" width="12.85546875" style="2" customWidth="1"/>
    <col min="7687" max="7687" width="13" style="2" customWidth="1"/>
    <col min="7688" max="7688" width="15.140625" style="2" customWidth="1"/>
    <col min="7689" max="7689" width="12.7109375" style="2" customWidth="1"/>
    <col min="7690" max="7690" width="10.28515625" style="2" customWidth="1"/>
    <col min="7691" max="7691" width="10.42578125" style="2" customWidth="1"/>
    <col min="7692" max="7692" width="13.7109375" style="2" customWidth="1"/>
    <col min="7693" max="7693" width="12" style="2" customWidth="1"/>
    <col min="7694" max="7695" width="12.28515625" style="2" customWidth="1"/>
    <col min="7696" max="7696" width="14.5703125" style="2" customWidth="1"/>
    <col min="7697" max="7698" width="13.7109375" style="2" customWidth="1"/>
    <col min="7699" max="7699" width="15.7109375" style="2" customWidth="1"/>
    <col min="7700" max="7700" width="26.28515625" style="2" customWidth="1"/>
    <col min="7701" max="7701" width="79.5703125" style="2" customWidth="1"/>
    <col min="7702" max="7702" width="16.42578125" style="2" customWidth="1"/>
    <col min="7703" max="7703" width="12" style="2" customWidth="1"/>
    <col min="7704" max="7704" width="2.42578125" style="2" customWidth="1"/>
    <col min="7705" max="7936" width="9.140625" style="2"/>
    <col min="7937" max="7937" width="10.42578125" style="2" customWidth="1"/>
    <col min="7938" max="7938" width="45.5703125" style="2" customWidth="1"/>
    <col min="7939" max="7939" width="5" style="2" customWidth="1"/>
    <col min="7940" max="7940" width="5.28515625" style="2" customWidth="1"/>
    <col min="7941" max="7941" width="13.7109375" style="2" customWidth="1"/>
    <col min="7942" max="7942" width="12.85546875" style="2" customWidth="1"/>
    <col min="7943" max="7943" width="13" style="2" customWidth="1"/>
    <col min="7944" max="7944" width="15.140625" style="2" customWidth="1"/>
    <col min="7945" max="7945" width="12.7109375" style="2" customWidth="1"/>
    <col min="7946" max="7946" width="10.28515625" style="2" customWidth="1"/>
    <col min="7947" max="7947" width="10.42578125" style="2" customWidth="1"/>
    <col min="7948" max="7948" width="13.7109375" style="2" customWidth="1"/>
    <col min="7949" max="7949" width="12" style="2" customWidth="1"/>
    <col min="7950" max="7951" width="12.28515625" style="2" customWidth="1"/>
    <col min="7952" max="7952" width="14.5703125" style="2" customWidth="1"/>
    <col min="7953" max="7954" width="13.7109375" style="2" customWidth="1"/>
    <col min="7955" max="7955" width="15.7109375" style="2" customWidth="1"/>
    <col min="7956" max="7956" width="26.28515625" style="2" customWidth="1"/>
    <col min="7957" max="7957" width="79.5703125" style="2" customWidth="1"/>
    <col min="7958" max="7958" width="16.42578125" style="2" customWidth="1"/>
    <col min="7959" max="7959" width="12" style="2" customWidth="1"/>
    <col min="7960" max="7960" width="2.42578125" style="2" customWidth="1"/>
    <col min="7961" max="8192" width="9.140625" style="2"/>
    <col min="8193" max="8193" width="10.42578125" style="2" customWidth="1"/>
    <col min="8194" max="8194" width="45.5703125" style="2" customWidth="1"/>
    <col min="8195" max="8195" width="5" style="2" customWidth="1"/>
    <col min="8196" max="8196" width="5.28515625" style="2" customWidth="1"/>
    <col min="8197" max="8197" width="13.7109375" style="2" customWidth="1"/>
    <col min="8198" max="8198" width="12.85546875" style="2" customWidth="1"/>
    <col min="8199" max="8199" width="13" style="2" customWidth="1"/>
    <col min="8200" max="8200" width="15.140625" style="2" customWidth="1"/>
    <col min="8201" max="8201" width="12.7109375" style="2" customWidth="1"/>
    <col min="8202" max="8202" width="10.28515625" style="2" customWidth="1"/>
    <col min="8203" max="8203" width="10.42578125" style="2" customWidth="1"/>
    <col min="8204" max="8204" width="13.7109375" style="2" customWidth="1"/>
    <col min="8205" max="8205" width="12" style="2" customWidth="1"/>
    <col min="8206" max="8207" width="12.28515625" style="2" customWidth="1"/>
    <col min="8208" max="8208" width="14.5703125" style="2" customWidth="1"/>
    <col min="8209" max="8210" width="13.7109375" style="2" customWidth="1"/>
    <col min="8211" max="8211" width="15.7109375" style="2" customWidth="1"/>
    <col min="8212" max="8212" width="26.28515625" style="2" customWidth="1"/>
    <col min="8213" max="8213" width="79.5703125" style="2" customWidth="1"/>
    <col min="8214" max="8214" width="16.42578125" style="2" customWidth="1"/>
    <col min="8215" max="8215" width="12" style="2" customWidth="1"/>
    <col min="8216" max="8216" width="2.42578125" style="2" customWidth="1"/>
    <col min="8217" max="8448" width="9.140625" style="2"/>
    <col min="8449" max="8449" width="10.42578125" style="2" customWidth="1"/>
    <col min="8450" max="8450" width="45.5703125" style="2" customWidth="1"/>
    <col min="8451" max="8451" width="5" style="2" customWidth="1"/>
    <col min="8452" max="8452" width="5.28515625" style="2" customWidth="1"/>
    <col min="8453" max="8453" width="13.7109375" style="2" customWidth="1"/>
    <col min="8454" max="8454" width="12.85546875" style="2" customWidth="1"/>
    <col min="8455" max="8455" width="13" style="2" customWidth="1"/>
    <col min="8456" max="8456" width="15.140625" style="2" customWidth="1"/>
    <col min="8457" max="8457" width="12.7109375" style="2" customWidth="1"/>
    <col min="8458" max="8458" width="10.28515625" style="2" customWidth="1"/>
    <col min="8459" max="8459" width="10.42578125" style="2" customWidth="1"/>
    <col min="8460" max="8460" width="13.7109375" style="2" customWidth="1"/>
    <col min="8461" max="8461" width="12" style="2" customWidth="1"/>
    <col min="8462" max="8463" width="12.28515625" style="2" customWidth="1"/>
    <col min="8464" max="8464" width="14.5703125" style="2" customWidth="1"/>
    <col min="8465" max="8466" width="13.7109375" style="2" customWidth="1"/>
    <col min="8467" max="8467" width="15.7109375" style="2" customWidth="1"/>
    <col min="8468" max="8468" width="26.28515625" style="2" customWidth="1"/>
    <col min="8469" max="8469" width="79.5703125" style="2" customWidth="1"/>
    <col min="8470" max="8470" width="16.42578125" style="2" customWidth="1"/>
    <col min="8471" max="8471" width="12" style="2" customWidth="1"/>
    <col min="8472" max="8472" width="2.42578125" style="2" customWidth="1"/>
    <col min="8473" max="8704" width="9.140625" style="2"/>
    <col min="8705" max="8705" width="10.42578125" style="2" customWidth="1"/>
    <col min="8706" max="8706" width="45.5703125" style="2" customWidth="1"/>
    <col min="8707" max="8707" width="5" style="2" customWidth="1"/>
    <col min="8708" max="8708" width="5.28515625" style="2" customWidth="1"/>
    <col min="8709" max="8709" width="13.7109375" style="2" customWidth="1"/>
    <col min="8710" max="8710" width="12.85546875" style="2" customWidth="1"/>
    <col min="8711" max="8711" width="13" style="2" customWidth="1"/>
    <col min="8712" max="8712" width="15.140625" style="2" customWidth="1"/>
    <col min="8713" max="8713" width="12.7109375" style="2" customWidth="1"/>
    <col min="8714" max="8714" width="10.28515625" style="2" customWidth="1"/>
    <col min="8715" max="8715" width="10.42578125" style="2" customWidth="1"/>
    <col min="8716" max="8716" width="13.7109375" style="2" customWidth="1"/>
    <col min="8717" max="8717" width="12" style="2" customWidth="1"/>
    <col min="8718" max="8719" width="12.28515625" style="2" customWidth="1"/>
    <col min="8720" max="8720" width="14.5703125" style="2" customWidth="1"/>
    <col min="8721" max="8722" width="13.7109375" style="2" customWidth="1"/>
    <col min="8723" max="8723" width="15.7109375" style="2" customWidth="1"/>
    <col min="8724" max="8724" width="26.28515625" style="2" customWidth="1"/>
    <col min="8725" max="8725" width="79.5703125" style="2" customWidth="1"/>
    <col min="8726" max="8726" width="16.42578125" style="2" customWidth="1"/>
    <col min="8727" max="8727" width="12" style="2" customWidth="1"/>
    <col min="8728" max="8728" width="2.42578125" style="2" customWidth="1"/>
    <col min="8729" max="8960" width="9.140625" style="2"/>
    <col min="8961" max="8961" width="10.42578125" style="2" customWidth="1"/>
    <col min="8962" max="8962" width="45.5703125" style="2" customWidth="1"/>
    <col min="8963" max="8963" width="5" style="2" customWidth="1"/>
    <col min="8964" max="8964" width="5.28515625" style="2" customWidth="1"/>
    <col min="8965" max="8965" width="13.7109375" style="2" customWidth="1"/>
    <col min="8966" max="8966" width="12.85546875" style="2" customWidth="1"/>
    <col min="8967" max="8967" width="13" style="2" customWidth="1"/>
    <col min="8968" max="8968" width="15.140625" style="2" customWidth="1"/>
    <col min="8969" max="8969" width="12.7109375" style="2" customWidth="1"/>
    <col min="8970" max="8970" width="10.28515625" style="2" customWidth="1"/>
    <col min="8971" max="8971" width="10.42578125" style="2" customWidth="1"/>
    <col min="8972" max="8972" width="13.7109375" style="2" customWidth="1"/>
    <col min="8973" max="8973" width="12" style="2" customWidth="1"/>
    <col min="8974" max="8975" width="12.28515625" style="2" customWidth="1"/>
    <col min="8976" max="8976" width="14.5703125" style="2" customWidth="1"/>
    <col min="8977" max="8978" width="13.7109375" style="2" customWidth="1"/>
    <col min="8979" max="8979" width="15.7109375" style="2" customWidth="1"/>
    <col min="8980" max="8980" width="26.28515625" style="2" customWidth="1"/>
    <col min="8981" max="8981" width="79.5703125" style="2" customWidth="1"/>
    <col min="8982" max="8982" width="16.42578125" style="2" customWidth="1"/>
    <col min="8983" max="8983" width="12" style="2" customWidth="1"/>
    <col min="8984" max="8984" width="2.42578125" style="2" customWidth="1"/>
    <col min="8985" max="9216" width="9.140625" style="2"/>
    <col min="9217" max="9217" width="10.42578125" style="2" customWidth="1"/>
    <col min="9218" max="9218" width="45.5703125" style="2" customWidth="1"/>
    <col min="9219" max="9219" width="5" style="2" customWidth="1"/>
    <col min="9220" max="9220" width="5.28515625" style="2" customWidth="1"/>
    <col min="9221" max="9221" width="13.7109375" style="2" customWidth="1"/>
    <col min="9222" max="9222" width="12.85546875" style="2" customWidth="1"/>
    <col min="9223" max="9223" width="13" style="2" customWidth="1"/>
    <col min="9224" max="9224" width="15.140625" style="2" customWidth="1"/>
    <col min="9225" max="9225" width="12.7109375" style="2" customWidth="1"/>
    <col min="9226" max="9226" width="10.28515625" style="2" customWidth="1"/>
    <col min="9227" max="9227" width="10.42578125" style="2" customWidth="1"/>
    <col min="9228" max="9228" width="13.7109375" style="2" customWidth="1"/>
    <col min="9229" max="9229" width="12" style="2" customWidth="1"/>
    <col min="9230" max="9231" width="12.28515625" style="2" customWidth="1"/>
    <col min="9232" max="9232" width="14.5703125" style="2" customWidth="1"/>
    <col min="9233" max="9234" width="13.7109375" style="2" customWidth="1"/>
    <col min="9235" max="9235" width="15.7109375" style="2" customWidth="1"/>
    <col min="9236" max="9236" width="26.28515625" style="2" customWidth="1"/>
    <col min="9237" max="9237" width="79.5703125" style="2" customWidth="1"/>
    <col min="9238" max="9238" width="16.42578125" style="2" customWidth="1"/>
    <col min="9239" max="9239" width="12" style="2" customWidth="1"/>
    <col min="9240" max="9240" width="2.42578125" style="2" customWidth="1"/>
    <col min="9241" max="9472" width="9.140625" style="2"/>
    <col min="9473" max="9473" width="10.42578125" style="2" customWidth="1"/>
    <col min="9474" max="9474" width="45.5703125" style="2" customWidth="1"/>
    <col min="9475" max="9475" width="5" style="2" customWidth="1"/>
    <col min="9476" max="9476" width="5.28515625" style="2" customWidth="1"/>
    <col min="9477" max="9477" width="13.7109375" style="2" customWidth="1"/>
    <col min="9478" max="9478" width="12.85546875" style="2" customWidth="1"/>
    <col min="9479" max="9479" width="13" style="2" customWidth="1"/>
    <col min="9480" max="9480" width="15.140625" style="2" customWidth="1"/>
    <col min="9481" max="9481" width="12.7109375" style="2" customWidth="1"/>
    <col min="9482" max="9482" width="10.28515625" style="2" customWidth="1"/>
    <col min="9483" max="9483" width="10.42578125" style="2" customWidth="1"/>
    <col min="9484" max="9484" width="13.7109375" style="2" customWidth="1"/>
    <col min="9485" max="9485" width="12" style="2" customWidth="1"/>
    <col min="9486" max="9487" width="12.28515625" style="2" customWidth="1"/>
    <col min="9488" max="9488" width="14.5703125" style="2" customWidth="1"/>
    <col min="9489" max="9490" width="13.7109375" style="2" customWidth="1"/>
    <col min="9491" max="9491" width="15.7109375" style="2" customWidth="1"/>
    <col min="9492" max="9492" width="26.28515625" style="2" customWidth="1"/>
    <col min="9493" max="9493" width="79.5703125" style="2" customWidth="1"/>
    <col min="9494" max="9494" width="16.42578125" style="2" customWidth="1"/>
    <col min="9495" max="9495" width="12" style="2" customWidth="1"/>
    <col min="9496" max="9496" width="2.42578125" style="2" customWidth="1"/>
    <col min="9497" max="9728" width="9.140625" style="2"/>
    <col min="9729" max="9729" width="10.42578125" style="2" customWidth="1"/>
    <col min="9730" max="9730" width="45.5703125" style="2" customWidth="1"/>
    <col min="9731" max="9731" width="5" style="2" customWidth="1"/>
    <col min="9732" max="9732" width="5.28515625" style="2" customWidth="1"/>
    <col min="9733" max="9733" width="13.7109375" style="2" customWidth="1"/>
    <col min="9734" max="9734" width="12.85546875" style="2" customWidth="1"/>
    <col min="9735" max="9735" width="13" style="2" customWidth="1"/>
    <col min="9736" max="9736" width="15.140625" style="2" customWidth="1"/>
    <col min="9737" max="9737" width="12.7109375" style="2" customWidth="1"/>
    <col min="9738" max="9738" width="10.28515625" style="2" customWidth="1"/>
    <col min="9739" max="9739" width="10.42578125" style="2" customWidth="1"/>
    <col min="9740" max="9740" width="13.7109375" style="2" customWidth="1"/>
    <col min="9741" max="9741" width="12" style="2" customWidth="1"/>
    <col min="9742" max="9743" width="12.28515625" style="2" customWidth="1"/>
    <col min="9744" max="9744" width="14.5703125" style="2" customWidth="1"/>
    <col min="9745" max="9746" width="13.7109375" style="2" customWidth="1"/>
    <col min="9747" max="9747" width="15.7109375" style="2" customWidth="1"/>
    <col min="9748" max="9748" width="26.28515625" style="2" customWidth="1"/>
    <col min="9749" max="9749" width="79.5703125" style="2" customWidth="1"/>
    <col min="9750" max="9750" width="16.42578125" style="2" customWidth="1"/>
    <col min="9751" max="9751" width="12" style="2" customWidth="1"/>
    <col min="9752" max="9752" width="2.42578125" style="2" customWidth="1"/>
    <col min="9753" max="9984" width="9.140625" style="2"/>
    <col min="9985" max="9985" width="10.42578125" style="2" customWidth="1"/>
    <col min="9986" max="9986" width="45.5703125" style="2" customWidth="1"/>
    <col min="9987" max="9987" width="5" style="2" customWidth="1"/>
    <col min="9988" max="9988" width="5.28515625" style="2" customWidth="1"/>
    <col min="9989" max="9989" width="13.7109375" style="2" customWidth="1"/>
    <col min="9990" max="9990" width="12.85546875" style="2" customWidth="1"/>
    <col min="9991" max="9991" width="13" style="2" customWidth="1"/>
    <col min="9992" max="9992" width="15.140625" style="2" customWidth="1"/>
    <col min="9993" max="9993" width="12.7109375" style="2" customWidth="1"/>
    <col min="9994" max="9994" width="10.28515625" style="2" customWidth="1"/>
    <col min="9995" max="9995" width="10.42578125" style="2" customWidth="1"/>
    <col min="9996" max="9996" width="13.7109375" style="2" customWidth="1"/>
    <col min="9997" max="9997" width="12" style="2" customWidth="1"/>
    <col min="9998" max="9999" width="12.28515625" style="2" customWidth="1"/>
    <col min="10000" max="10000" width="14.5703125" style="2" customWidth="1"/>
    <col min="10001" max="10002" width="13.7109375" style="2" customWidth="1"/>
    <col min="10003" max="10003" width="15.7109375" style="2" customWidth="1"/>
    <col min="10004" max="10004" width="26.28515625" style="2" customWidth="1"/>
    <col min="10005" max="10005" width="79.5703125" style="2" customWidth="1"/>
    <col min="10006" max="10006" width="16.42578125" style="2" customWidth="1"/>
    <col min="10007" max="10007" width="12" style="2" customWidth="1"/>
    <col min="10008" max="10008" width="2.42578125" style="2" customWidth="1"/>
    <col min="10009" max="10240" width="9.140625" style="2"/>
    <col min="10241" max="10241" width="10.42578125" style="2" customWidth="1"/>
    <col min="10242" max="10242" width="45.5703125" style="2" customWidth="1"/>
    <col min="10243" max="10243" width="5" style="2" customWidth="1"/>
    <col min="10244" max="10244" width="5.28515625" style="2" customWidth="1"/>
    <col min="10245" max="10245" width="13.7109375" style="2" customWidth="1"/>
    <col min="10246" max="10246" width="12.85546875" style="2" customWidth="1"/>
    <col min="10247" max="10247" width="13" style="2" customWidth="1"/>
    <col min="10248" max="10248" width="15.140625" style="2" customWidth="1"/>
    <col min="10249" max="10249" width="12.7109375" style="2" customWidth="1"/>
    <col min="10250" max="10250" width="10.28515625" style="2" customWidth="1"/>
    <col min="10251" max="10251" width="10.42578125" style="2" customWidth="1"/>
    <col min="10252" max="10252" width="13.7109375" style="2" customWidth="1"/>
    <col min="10253" max="10253" width="12" style="2" customWidth="1"/>
    <col min="10254" max="10255" width="12.28515625" style="2" customWidth="1"/>
    <col min="10256" max="10256" width="14.5703125" style="2" customWidth="1"/>
    <col min="10257" max="10258" width="13.7109375" style="2" customWidth="1"/>
    <col min="10259" max="10259" width="15.7109375" style="2" customWidth="1"/>
    <col min="10260" max="10260" width="26.28515625" style="2" customWidth="1"/>
    <col min="10261" max="10261" width="79.5703125" style="2" customWidth="1"/>
    <col min="10262" max="10262" width="16.42578125" style="2" customWidth="1"/>
    <col min="10263" max="10263" width="12" style="2" customWidth="1"/>
    <col min="10264" max="10264" width="2.42578125" style="2" customWidth="1"/>
    <col min="10265" max="10496" width="9.140625" style="2"/>
    <col min="10497" max="10497" width="10.42578125" style="2" customWidth="1"/>
    <col min="10498" max="10498" width="45.5703125" style="2" customWidth="1"/>
    <col min="10499" max="10499" width="5" style="2" customWidth="1"/>
    <col min="10500" max="10500" width="5.28515625" style="2" customWidth="1"/>
    <col min="10501" max="10501" width="13.7109375" style="2" customWidth="1"/>
    <col min="10502" max="10502" width="12.85546875" style="2" customWidth="1"/>
    <col min="10503" max="10503" width="13" style="2" customWidth="1"/>
    <col min="10504" max="10504" width="15.140625" style="2" customWidth="1"/>
    <col min="10505" max="10505" width="12.7109375" style="2" customWidth="1"/>
    <col min="10506" max="10506" width="10.28515625" style="2" customWidth="1"/>
    <col min="10507" max="10507" width="10.42578125" style="2" customWidth="1"/>
    <col min="10508" max="10508" width="13.7109375" style="2" customWidth="1"/>
    <col min="10509" max="10509" width="12" style="2" customWidth="1"/>
    <col min="10510" max="10511" width="12.28515625" style="2" customWidth="1"/>
    <col min="10512" max="10512" width="14.5703125" style="2" customWidth="1"/>
    <col min="10513" max="10514" width="13.7109375" style="2" customWidth="1"/>
    <col min="10515" max="10515" width="15.7109375" style="2" customWidth="1"/>
    <col min="10516" max="10516" width="26.28515625" style="2" customWidth="1"/>
    <col min="10517" max="10517" width="79.5703125" style="2" customWidth="1"/>
    <col min="10518" max="10518" width="16.42578125" style="2" customWidth="1"/>
    <col min="10519" max="10519" width="12" style="2" customWidth="1"/>
    <col min="10520" max="10520" width="2.42578125" style="2" customWidth="1"/>
    <col min="10521" max="10752" width="9.140625" style="2"/>
    <col min="10753" max="10753" width="10.42578125" style="2" customWidth="1"/>
    <col min="10754" max="10754" width="45.5703125" style="2" customWidth="1"/>
    <col min="10755" max="10755" width="5" style="2" customWidth="1"/>
    <col min="10756" max="10756" width="5.28515625" style="2" customWidth="1"/>
    <col min="10757" max="10757" width="13.7109375" style="2" customWidth="1"/>
    <col min="10758" max="10758" width="12.85546875" style="2" customWidth="1"/>
    <col min="10759" max="10759" width="13" style="2" customWidth="1"/>
    <col min="10760" max="10760" width="15.140625" style="2" customWidth="1"/>
    <col min="10761" max="10761" width="12.7109375" style="2" customWidth="1"/>
    <col min="10762" max="10762" width="10.28515625" style="2" customWidth="1"/>
    <col min="10763" max="10763" width="10.42578125" style="2" customWidth="1"/>
    <col min="10764" max="10764" width="13.7109375" style="2" customWidth="1"/>
    <col min="10765" max="10765" width="12" style="2" customWidth="1"/>
    <col min="10766" max="10767" width="12.28515625" style="2" customWidth="1"/>
    <col min="10768" max="10768" width="14.5703125" style="2" customWidth="1"/>
    <col min="10769" max="10770" width="13.7109375" style="2" customWidth="1"/>
    <col min="10771" max="10771" width="15.7109375" style="2" customWidth="1"/>
    <col min="10772" max="10772" width="26.28515625" style="2" customWidth="1"/>
    <col min="10773" max="10773" width="79.5703125" style="2" customWidth="1"/>
    <col min="10774" max="10774" width="16.42578125" style="2" customWidth="1"/>
    <col min="10775" max="10775" width="12" style="2" customWidth="1"/>
    <col min="10776" max="10776" width="2.42578125" style="2" customWidth="1"/>
    <col min="10777" max="11008" width="9.140625" style="2"/>
    <col min="11009" max="11009" width="10.42578125" style="2" customWidth="1"/>
    <col min="11010" max="11010" width="45.5703125" style="2" customWidth="1"/>
    <col min="11011" max="11011" width="5" style="2" customWidth="1"/>
    <col min="11012" max="11012" width="5.28515625" style="2" customWidth="1"/>
    <col min="11013" max="11013" width="13.7109375" style="2" customWidth="1"/>
    <col min="11014" max="11014" width="12.85546875" style="2" customWidth="1"/>
    <col min="11015" max="11015" width="13" style="2" customWidth="1"/>
    <col min="11016" max="11016" width="15.140625" style="2" customWidth="1"/>
    <col min="11017" max="11017" width="12.7109375" style="2" customWidth="1"/>
    <col min="11018" max="11018" width="10.28515625" style="2" customWidth="1"/>
    <col min="11019" max="11019" width="10.42578125" style="2" customWidth="1"/>
    <col min="11020" max="11020" width="13.7109375" style="2" customWidth="1"/>
    <col min="11021" max="11021" width="12" style="2" customWidth="1"/>
    <col min="11022" max="11023" width="12.28515625" style="2" customWidth="1"/>
    <col min="11024" max="11024" width="14.5703125" style="2" customWidth="1"/>
    <col min="11025" max="11026" width="13.7109375" style="2" customWidth="1"/>
    <col min="11027" max="11027" width="15.7109375" style="2" customWidth="1"/>
    <col min="11028" max="11028" width="26.28515625" style="2" customWidth="1"/>
    <col min="11029" max="11029" width="79.5703125" style="2" customWidth="1"/>
    <col min="11030" max="11030" width="16.42578125" style="2" customWidth="1"/>
    <col min="11031" max="11031" width="12" style="2" customWidth="1"/>
    <col min="11032" max="11032" width="2.42578125" style="2" customWidth="1"/>
    <col min="11033" max="11264" width="9.140625" style="2"/>
    <col min="11265" max="11265" width="10.42578125" style="2" customWidth="1"/>
    <col min="11266" max="11266" width="45.5703125" style="2" customWidth="1"/>
    <col min="11267" max="11267" width="5" style="2" customWidth="1"/>
    <col min="11268" max="11268" width="5.28515625" style="2" customWidth="1"/>
    <col min="11269" max="11269" width="13.7109375" style="2" customWidth="1"/>
    <col min="11270" max="11270" width="12.85546875" style="2" customWidth="1"/>
    <col min="11271" max="11271" width="13" style="2" customWidth="1"/>
    <col min="11272" max="11272" width="15.140625" style="2" customWidth="1"/>
    <col min="11273" max="11273" width="12.7109375" style="2" customWidth="1"/>
    <col min="11274" max="11274" width="10.28515625" style="2" customWidth="1"/>
    <col min="11275" max="11275" width="10.42578125" style="2" customWidth="1"/>
    <col min="11276" max="11276" width="13.7109375" style="2" customWidth="1"/>
    <col min="11277" max="11277" width="12" style="2" customWidth="1"/>
    <col min="11278" max="11279" width="12.28515625" style="2" customWidth="1"/>
    <col min="11280" max="11280" width="14.5703125" style="2" customWidth="1"/>
    <col min="11281" max="11282" width="13.7109375" style="2" customWidth="1"/>
    <col min="11283" max="11283" width="15.7109375" style="2" customWidth="1"/>
    <col min="11284" max="11284" width="26.28515625" style="2" customWidth="1"/>
    <col min="11285" max="11285" width="79.5703125" style="2" customWidth="1"/>
    <col min="11286" max="11286" width="16.42578125" style="2" customWidth="1"/>
    <col min="11287" max="11287" width="12" style="2" customWidth="1"/>
    <col min="11288" max="11288" width="2.42578125" style="2" customWidth="1"/>
    <col min="11289" max="11520" width="9.140625" style="2"/>
    <col min="11521" max="11521" width="10.42578125" style="2" customWidth="1"/>
    <col min="11522" max="11522" width="45.5703125" style="2" customWidth="1"/>
    <col min="11523" max="11523" width="5" style="2" customWidth="1"/>
    <col min="11524" max="11524" width="5.28515625" style="2" customWidth="1"/>
    <col min="11525" max="11525" width="13.7109375" style="2" customWidth="1"/>
    <col min="11526" max="11526" width="12.85546875" style="2" customWidth="1"/>
    <col min="11527" max="11527" width="13" style="2" customWidth="1"/>
    <col min="11528" max="11528" width="15.140625" style="2" customWidth="1"/>
    <col min="11529" max="11529" width="12.7109375" style="2" customWidth="1"/>
    <col min="11530" max="11530" width="10.28515625" style="2" customWidth="1"/>
    <col min="11531" max="11531" width="10.42578125" style="2" customWidth="1"/>
    <col min="11532" max="11532" width="13.7109375" style="2" customWidth="1"/>
    <col min="11533" max="11533" width="12" style="2" customWidth="1"/>
    <col min="11534" max="11535" width="12.28515625" style="2" customWidth="1"/>
    <col min="11536" max="11536" width="14.5703125" style="2" customWidth="1"/>
    <col min="11537" max="11538" width="13.7109375" style="2" customWidth="1"/>
    <col min="11539" max="11539" width="15.7109375" style="2" customWidth="1"/>
    <col min="11540" max="11540" width="26.28515625" style="2" customWidth="1"/>
    <col min="11541" max="11541" width="79.5703125" style="2" customWidth="1"/>
    <col min="11542" max="11542" width="16.42578125" style="2" customWidth="1"/>
    <col min="11543" max="11543" width="12" style="2" customWidth="1"/>
    <col min="11544" max="11544" width="2.42578125" style="2" customWidth="1"/>
    <col min="11545" max="11776" width="9.140625" style="2"/>
    <col min="11777" max="11777" width="10.42578125" style="2" customWidth="1"/>
    <col min="11778" max="11778" width="45.5703125" style="2" customWidth="1"/>
    <col min="11779" max="11779" width="5" style="2" customWidth="1"/>
    <col min="11780" max="11780" width="5.28515625" style="2" customWidth="1"/>
    <col min="11781" max="11781" width="13.7109375" style="2" customWidth="1"/>
    <col min="11782" max="11782" width="12.85546875" style="2" customWidth="1"/>
    <col min="11783" max="11783" width="13" style="2" customWidth="1"/>
    <col min="11784" max="11784" width="15.140625" style="2" customWidth="1"/>
    <col min="11785" max="11785" width="12.7109375" style="2" customWidth="1"/>
    <col min="11786" max="11786" width="10.28515625" style="2" customWidth="1"/>
    <col min="11787" max="11787" width="10.42578125" style="2" customWidth="1"/>
    <col min="11788" max="11788" width="13.7109375" style="2" customWidth="1"/>
    <col min="11789" max="11789" width="12" style="2" customWidth="1"/>
    <col min="11790" max="11791" width="12.28515625" style="2" customWidth="1"/>
    <col min="11792" max="11792" width="14.5703125" style="2" customWidth="1"/>
    <col min="11793" max="11794" width="13.7109375" style="2" customWidth="1"/>
    <col min="11795" max="11795" width="15.7109375" style="2" customWidth="1"/>
    <col min="11796" max="11796" width="26.28515625" style="2" customWidth="1"/>
    <col min="11797" max="11797" width="79.5703125" style="2" customWidth="1"/>
    <col min="11798" max="11798" width="16.42578125" style="2" customWidth="1"/>
    <col min="11799" max="11799" width="12" style="2" customWidth="1"/>
    <col min="11800" max="11800" width="2.42578125" style="2" customWidth="1"/>
    <col min="11801" max="12032" width="9.140625" style="2"/>
    <col min="12033" max="12033" width="10.42578125" style="2" customWidth="1"/>
    <col min="12034" max="12034" width="45.5703125" style="2" customWidth="1"/>
    <col min="12035" max="12035" width="5" style="2" customWidth="1"/>
    <col min="12036" max="12036" width="5.28515625" style="2" customWidth="1"/>
    <col min="12037" max="12037" width="13.7109375" style="2" customWidth="1"/>
    <col min="12038" max="12038" width="12.85546875" style="2" customWidth="1"/>
    <col min="12039" max="12039" width="13" style="2" customWidth="1"/>
    <col min="12040" max="12040" width="15.140625" style="2" customWidth="1"/>
    <col min="12041" max="12041" width="12.7109375" style="2" customWidth="1"/>
    <col min="12042" max="12042" width="10.28515625" style="2" customWidth="1"/>
    <col min="12043" max="12043" width="10.42578125" style="2" customWidth="1"/>
    <col min="12044" max="12044" width="13.7109375" style="2" customWidth="1"/>
    <col min="12045" max="12045" width="12" style="2" customWidth="1"/>
    <col min="12046" max="12047" width="12.28515625" style="2" customWidth="1"/>
    <col min="12048" max="12048" width="14.5703125" style="2" customWidth="1"/>
    <col min="12049" max="12050" width="13.7109375" style="2" customWidth="1"/>
    <col min="12051" max="12051" width="15.7109375" style="2" customWidth="1"/>
    <col min="12052" max="12052" width="26.28515625" style="2" customWidth="1"/>
    <col min="12053" max="12053" width="79.5703125" style="2" customWidth="1"/>
    <col min="12054" max="12054" width="16.42578125" style="2" customWidth="1"/>
    <col min="12055" max="12055" width="12" style="2" customWidth="1"/>
    <col min="12056" max="12056" width="2.42578125" style="2" customWidth="1"/>
    <col min="12057" max="12288" width="9.140625" style="2"/>
    <col min="12289" max="12289" width="10.42578125" style="2" customWidth="1"/>
    <col min="12290" max="12290" width="45.5703125" style="2" customWidth="1"/>
    <col min="12291" max="12291" width="5" style="2" customWidth="1"/>
    <col min="12292" max="12292" width="5.28515625" style="2" customWidth="1"/>
    <col min="12293" max="12293" width="13.7109375" style="2" customWidth="1"/>
    <col min="12294" max="12294" width="12.85546875" style="2" customWidth="1"/>
    <col min="12295" max="12295" width="13" style="2" customWidth="1"/>
    <col min="12296" max="12296" width="15.140625" style="2" customWidth="1"/>
    <col min="12297" max="12297" width="12.7109375" style="2" customWidth="1"/>
    <col min="12298" max="12298" width="10.28515625" style="2" customWidth="1"/>
    <col min="12299" max="12299" width="10.42578125" style="2" customWidth="1"/>
    <col min="12300" max="12300" width="13.7109375" style="2" customWidth="1"/>
    <col min="12301" max="12301" width="12" style="2" customWidth="1"/>
    <col min="12302" max="12303" width="12.28515625" style="2" customWidth="1"/>
    <col min="12304" max="12304" width="14.5703125" style="2" customWidth="1"/>
    <col min="12305" max="12306" width="13.7109375" style="2" customWidth="1"/>
    <col min="12307" max="12307" width="15.7109375" style="2" customWidth="1"/>
    <col min="12308" max="12308" width="26.28515625" style="2" customWidth="1"/>
    <col min="12309" max="12309" width="79.5703125" style="2" customWidth="1"/>
    <col min="12310" max="12310" width="16.42578125" style="2" customWidth="1"/>
    <col min="12311" max="12311" width="12" style="2" customWidth="1"/>
    <col min="12312" max="12312" width="2.42578125" style="2" customWidth="1"/>
    <col min="12313" max="12544" width="9.140625" style="2"/>
    <col min="12545" max="12545" width="10.42578125" style="2" customWidth="1"/>
    <col min="12546" max="12546" width="45.5703125" style="2" customWidth="1"/>
    <col min="12547" max="12547" width="5" style="2" customWidth="1"/>
    <col min="12548" max="12548" width="5.28515625" style="2" customWidth="1"/>
    <col min="12549" max="12549" width="13.7109375" style="2" customWidth="1"/>
    <col min="12550" max="12550" width="12.85546875" style="2" customWidth="1"/>
    <col min="12551" max="12551" width="13" style="2" customWidth="1"/>
    <col min="12552" max="12552" width="15.140625" style="2" customWidth="1"/>
    <col min="12553" max="12553" width="12.7109375" style="2" customWidth="1"/>
    <col min="12554" max="12554" width="10.28515625" style="2" customWidth="1"/>
    <col min="12555" max="12555" width="10.42578125" style="2" customWidth="1"/>
    <col min="12556" max="12556" width="13.7109375" style="2" customWidth="1"/>
    <col min="12557" max="12557" width="12" style="2" customWidth="1"/>
    <col min="12558" max="12559" width="12.28515625" style="2" customWidth="1"/>
    <col min="12560" max="12560" width="14.5703125" style="2" customWidth="1"/>
    <col min="12561" max="12562" width="13.7109375" style="2" customWidth="1"/>
    <col min="12563" max="12563" width="15.7109375" style="2" customWidth="1"/>
    <col min="12564" max="12564" width="26.28515625" style="2" customWidth="1"/>
    <col min="12565" max="12565" width="79.5703125" style="2" customWidth="1"/>
    <col min="12566" max="12566" width="16.42578125" style="2" customWidth="1"/>
    <col min="12567" max="12567" width="12" style="2" customWidth="1"/>
    <col min="12568" max="12568" width="2.42578125" style="2" customWidth="1"/>
    <col min="12569" max="12800" width="9.140625" style="2"/>
    <col min="12801" max="12801" width="10.42578125" style="2" customWidth="1"/>
    <col min="12802" max="12802" width="45.5703125" style="2" customWidth="1"/>
    <col min="12803" max="12803" width="5" style="2" customWidth="1"/>
    <col min="12804" max="12804" width="5.28515625" style="2" customWidth="1"/>
    <col min="12805" max="12805" width="13.7109375" style="2" customWidth="1"/>
    <col min="12806" max="12806" width="12.85546875" style="2" customWidth="1"/>
    <col min="12807" max="12807" width="13" style="2" customWidth="1"/>
    <col min="12808" max="12808" width="15.140625" style="2" customWidth="1"/>
    <col min="12809" max="12809" width="12.7109375" style="2" customWidth="1"/>
    <col min="12810" max="12810" width="10.28515625" style="2" customWidth="1"/>
    <col min="12811" max="12811" width="10.42578125" style="2" customWidth="1"/>
    <col min="12812" max="12812" width="13.7109375" style="2" customWidth="1"/>
    <col min="12813" max="12813" width="12" style="2" customWidth="1"/>
    <col min="12814" max="12815" width="12.28515625" style="2" customWidth="1"/>
    <col min="12816" max="12816" width="14.5703125" style="2" customWidth="1"/>
    <col min="12817" max="12818" width="13.7109375" style="2" customWidth="1"/>
    <col min="12819" max="12819" width="15.7109375" style="2" customWidth="1"/>
    <col min="12820" max="12820" width="26.28515625" style="2" customWidth="1"/>
    <col min="12821" max="12821" width="79.5703125" style="2" customWidth="1"/>
    <col min="12822" max="12822" width="16.42578125" style="2" customWidth="1"/>
    <col min="12823" max="12823" width="12" style="2" customWidth="1"/>
    <col min="12824" max="12824" width="2.42578125" style="2" customWidth="1"/>
    <col min="12825" max="13056" width="9.140625" style="2"/>
    <col min="13057" max="13057" width="10.42578125" style="2" customWidth="1"/>
    <col min="13058" max="13058" width="45.5703125" style="2" customWidth="1"/>
    <col min="13059" max="13059" width="5" style="2" customWidth="1"/>
    <col min="13060" max="13060" width="5.28515625" style="2" customWidth="1"/>
    <col min="13061" max="13061" width="13.7109375" style="2" customWidth="1"/>
    <col min="13062" max="13062" width="12.85546875" style="2" customWidth="1"/>
    <col min="13063" max="13063" width="13" style="2" customWidth="1"/>
    <col min="13064" max="13064" width="15.140625" style="2" customWidth="1"/>
    <col min="13065" max="13065" width="12.7109375" style="2" customWidth="1"/>
    <col min="13066" max="13066" width="10.28515625" style="2" customWidth="1"/>
    <col min="13067" max="13067" width="10.42578125" style="2" customWidth="1"/>
    <col min="13068" max="13068" width="13.7109375" style="2" customWidth="1"/>
    <col min="13069" max="13069" width="12" style="2" customWidth="1"/>
    <col min="13070" max="13071" width="12.28515625" style="2" customWidth="1"/>
    <col min="13072" max="13072" width="14.5703125" style="2" customWidth="1"/>
    <col min="13073" max="13074" width="13.7109375" style="2" customWidth="1"/>
    <col min="13075" max="13075" width="15.7109375" style="2" customWidth="1"/>
    <col min="13076" max="13076" width="26.28515625" style="2" customWidth="1"/>
    <col min="13077" max="13077" width="79.5703125" style="2" customWidth="1"/>
    <col min="13078" max="13078" width="16.42578125" style="2" customWidth="1"/>
    <col min="13079" max="13079" width="12" style="2" customWidth="1"/>
    <col min="13080" max="13080" width="2.42578125" style="2" customWidth="1"/>
    <col min="13081" max="13312" width="9.140625" style="2"/>
    <col min="13313" max="13313" width="10.42578125" style="2" customWidth="1"/>
    <col min="13314" max="13314" width="45.5703125" style="2" customWidth="1"/>
    <col min="13315" max="13315" width="5" style="2" customWidth="1"/>
    <col min="13316" max="13316" width="5.28515625" style="2" customWidth="1"/>
    <col min="13317" max="13317" width="13.7109375" style="2" customWidth="1"/>
    <col min="13318" max="13318" width="12.85546875" style="2" customWidth="1"/>
    <col min="13319" max="13319" width="13" style="2" customWidth="1"/>
    <col min="13320" max="13320" width="15.140625" style="2" customWidth="1"/>
    <col min="13321" max="13321" width="12.7109375" style="2" customWidth="1"/>
    <col min="13322" max="13322" width="10.28515625" style="2" customWidth="1"/>
    <col min="13323" max="13323" width="10.42578125" style="2" customWidth="1"/>
    <col min="13324" max="13324" width="13.7109375" style="2" customWidth="1"/>
    <col min="13325" max="13325" width="12" style="2" customWidth="1"/>
    <col min="13326" max="13327" width="12.28515625" style="2" customWidth="1"/>
    <col min="13328" max="13328" width="14.5703125" style="2" customWidth="1"/>
    <col min="13329" max="13330" width="13.7109375" style="2" customWidth="1"/>
    <col min="13331" max="13331" width="15.7109375" style="2" customWidth="1"/>
    <col min="13332" max="13332" width="26.28515625" style="2" customWidth="1"/>
    <col min="13333" max="13333" width="79.5703125" style="2" customWidth="1"/>
    <col min="13334" max="13334" width="16.42578125" style="2" customWidth="1"/>
    <col min="13335" max="13335" width="12" style="2" customWidth="1"/>
    <col min="13336" max="13336" width="2.42578125" style="2" customWidth="1"/>
    <col min="13337" max="13568" width="9.140625" style="2"/>
    <col min="13569" max="13569" width="10.42578125" style="2" customWidth="1"/>
    <col min="13570" max="13570" width="45.5703125" style="2" customWidth="1"/>
    <col min="13571" max="13571" width="5" style="2" customWidth="1"/>
    <col min="13572" max="13572" width="5.28515625" style="2" customWidth="1"/>
    <col min="13573" max="13573" width="13.7109375" style="2" customWidth="1"/>
    <col min="13574" max="13574" width="12.85546875" style="2" customWidth="1"/>
    <col min="13575" max="13575" width="13" style="2" customWidth="1"/>
    <col min="13576" max="13576" width="15.140625" style="2" customWidth="1"/>
    <col min="13577" max="13577" width="12.7109375" style="2" customWidth="1"/>
    <col min="13578" max="13578" width="10.28515625" style="2" customWidth="1"/>
    <col min="13579" max="13579" width="10.42578125" style="2" customWidth="1"/>
    <col min="13580" max="13580" width="13.7109375" style="2" customWidth="1"/>
    <col min="13581" max="13581" width="12" style="2" customWidth="1"/>
    <col min="13582" max="13583" width="12.28515625" style="2" customWidth="1"/>
    <col min="13584" max="13584" width="14.5703125" style="2" customWidth="1"/>
    <col min="13585" max="13586" width="13.7109375" style="2" customWidth="1"/>
    <col min="13587" max="13587" width="15.7109375" style="2" customWidth="1"/>
    <col min="13588" max="13588" width="26.28515625" style="2" customWidth="1"/>
    <col min="13589" max="13589" width="79.5703125" style="2" customWidth="1"/>
    <col min="13590" max="13590" width="16.42578125" style="2" customWidth="1"/>
    <col min="13591" max="13591" width="12" style="2" customWidth="1"/>
    <col min="13592" max="13592" width="2.42578125" style="2" customWidth="1"/>
    <col min="13593" max="13824" width="9.140625" style="2"/>
    <col min="13825" max="13825" width="10.42578125" style="2" customWidth="1"/>
    <col min="13826" max="13826" width="45.5703125" style="2" customWidth="1"/>
    <col min="13827" max="13827" width="5" style="2" customWidth="1"/>
    <col min="13828" max="13828" width="5.28515625" style="2" customWidth="1"/>
    <col min="13829" max="13829" width="13.7109375" style="2" customWidth="1"/>
    <col min="13830" max="13830" width="12.85546875" style="2" customWidth="1"/>
    <col min="13831" max="13831" width="13" style="2" customWidth="1"/>
    <col min="13832" max="13832" width="15.140625" style="2" customWidth="1"/>
    <col min="13833" max="13833" width="12.7109375" style="2" customWidth="1"/>
    <col min="13834" max="13834" width="10.28515625" style="2" customWidth="1"/>
    <col min="13835" max="13835" width="10.42578125" style="2" customWidth="1"/>
    <col min="13836" max="13836" width="13.7109375" style="2" customWidth="1"/>
    <col min="13837" max="13837" width="12" style="2" customWidth="1"/>
    <col min="13838" max="13839" width="12.28515625" style="2" customWidth="1"/>
    <col min="13840" max="13840" width="14.5703125" style="2" customWidth="1"/>
    <col min="13841" max="13842" width="13.7109375" style="2" customWidth="1"/>
    <col min="13843" max="13843" width="15.7109375" style="2" customWidth="1"/>
    <col min="13844" max="13844" width="26.28515625" style="2" customWidth="1"/>
    <col min="13845" max="13845" width="79.5703125" style="2" customWidth="1"/>
    <col min="13846" max="13846" width="16.42578125" style="2" customWidth="1"/>
    <col min="13847" max="13847" width="12" style="2" customWidth="1"/>
    <col min="13848" max="13848" width="2.42578125" style="2" customWidth="1"/>
    <col min="13849" max="14080" width="9.140625" style="2"/>
    <col min="14081" max="14081" width="10.42578125" style="2" customWidth="1"/>
    <col min="14082" max="14082" width="45.5703125" style="2" customWidth="1"/>
    <col min="14083" max="14083" width="5" style="2" customWidth="1"/>
    <col min="14084" max="14084" width="5.28515625" style="2" customWidth="1"/>
    <col min="14085" max="14085" width="13.7109375" style="2" customWidth="1"/>
    <col min="14086" max="14086" width="12.85546875" style="2" customWidth="1"/>
    <col min="14087" max="14087" width="13" style="2" customWidth="1"/>
    <col min="14088" max="14088" width="15.140625" style="2" customWidth="1"/>
    <col min="14089" max="14089" width="12.7109375" style="2" customWidth="1"/>
    <col min="14090" max="14090" width="10.28515625" style="2" customWidth="1"/>
    <col min="14091" max="14091" width="10.42578125" style="2" customWidth="1"/>
    <col min="14092" max="14092" width="13.7109375" style="2" customWidth="1"/>
    <col min="14093" max="14093" width="12" style="2" customWidth="1"/>
    <col min="14094" max="14095" width="12.28515625" style="2" customWidth="1"/>
    <col min="14096" max="14096" width="14.5703125" style="2" customWidth="1"/>
    <col min="14097" max="14098" width="13.7109375" style="2" customWidth="1"/>
    <col min="14099" max="14099" width="15.7109375" style="2" customWidth="1"/>
    <col min="14100" max="14100" width="26.28515625" style="2" customWidth="1"/>
    <col min="14101" max="14101" width="79.5703125" style="2" customWidth="1"/>
    <col min="14102" max="14102" width="16.42578125" style="2" customWidth="1"/>
    <col min="14103" max="14103" width="12" style="2" customWidth="1"/>
    <col min="14104" max="14104" width="2.42578125" style="2" customWidth="1"/>
    <col min="14105" max="14336" width="9.140625" style="2"/>
    <col min="14337" max="14337" width="10.42578125" style="2" customWidth="1"/>
    <col min="14338" max="14338" width="45.5703125" style="2" customWidth="1"/>
    <col min="14339" max="14339" width="5" style="2" customWidth="1"/>
    <col min="14340" max="14340" width="5.28515625" style="2" customWidth="1"/>
    <col min="14341" max="14341" width="13.7109375" style="2" customWidth="1"/>
    <col min="14342" max="14342" width="12.85546875" style="2" customWidth="1"/>
    <col min="14343" max="14343" width="13" style="2" customWidth="1"/>
    <col min="14344" max="14344" width="15.140625" style="2" customWidth="1"/>
    <col min="14345" max="14345" width="12.7109375" style="2" customWidth="1"/>
    <col min="14346" max="14346" width="10.28515625" style="2" customWidth="1"/>
    <col min="14347" max="14347" width="10.42578125" style="2" customWidth="1"/>
    <col min="14348" max="14348" width="13.7109375" style="2" customWidth="1"/>
    <col min="14349" max="14349" width="12" style="2" customWidth="1"/>
    <col min="14350" max="14351" width="12.28515625" style="2" customWidth="1"/>
    <col min="14352" max="14352" width="14.5703125" style="2" customWidth="1"/>
    <col min="14353" max="14354" width="13.7109375" style="2" customWidth="1"/>
    <col min="14355" max="14355" width="15.7109375" style="2" customWidth="1"/>
    <col min="14356" max="14356" width="26.28515625" style="2" customWidth="1"/>
    <col min="14357" max="14357" width="79.5703125" style="2" customWidth="1"/>
    <col min="14358" max="14358" width="16.42578125" style="2" customWidth="1"/>
    <col min="14359" max="14359" width="12" style="2" customWidth="1"/>
    <col min="14360" max="14360" width="2.42578125" style="2" customWidth="1"/>
    <col min="14361" max="14592" width="9.140625" style="2"/>
    <col min="14593" max="14593" width="10.42578125" style="2" customWidth="1"/>
    <col min="14594" max="14594" width="45.5703125" style="2" customWidth="1"/>
    <col min="14595" max="14595" width="5" style="2" customWidth="1"/>
    <col min="14596" max="14596" width="5.28515625" style="2" customWidth="1"/>
    <col min="14597" max="14597" width="13.7109375" style="2" customWidth="1"/>
    <col min="14598" max="14598" width="12.85546875" style="2" customWidth="1"/>
    <col min="14599" max="14599" width="13" style="2" customWidth="1"/>
    <col min="14600" max="14600" width="15.140625" style="2" customWidth="1"/>
    <col min="14601" max="14601" width="12.7109375" style="2" customWidth="1"/>
    <col min="14602" max="14602" width="10.28515625" style="2" customWidth="1"/>
    <col min="14603" max="14603" width="10.42578125" style="2" customWidth="1"/>
    <col min="14604" max="14604" width="13.7109375" style="2" customWidth="1"/>
    <col min="14605" max="14605" width="12" style="2" customWidth="1"/>
    <col min="14606" max="14607" width="12.28515625" style="2" customWidth="1"/>
    <col min="14608" max="14608" width="14.5703125" style="2" customWidth="1"/>
    <col min="14609" max="14610" width="13.7109375" style="2" customWidth="1"/>
    <col min="14611" max="14611" width="15.7109375" style="2" customWidth="1"/>
    <col min="14612" max="14612" width="26.28515625" style="2" customWidth="1"/>
    <col min="14613" max="14613" width="79.5703125" style="2" customWidth="1"/>
    <col min="14614" max="14614" width="16.42578125" style="2" customWidth="1"/>
    <col min="14615" max="14615" width="12" style="2" customWidth="1"/>
    <col min="14616" max="14616" width="2.42578125" style="2" customWidth="1"/>
    <col min="14617" max="14848" width="9.140625" style="2"/>
    <col min="14849" max="14849" width="10.42578125" style="2" customWidth="1"/>
    <col min="14850" max="14850" width="45.5703125" style="2" customWidth="1"/>
    <col min="14851" max="14851" width="5" style="2" customWidth="1"/>
    <col min="14852" max="14852" width="5.28515625" style="2" customWidth="1"/>
    <col min="14853" max="14853" width="13.7109375" style="2" customWidth="1"/>
    <col min="14854" max="14854" width="12.85546875" style="2" customWidth="1"/>
    <col min="14855" max="14855" width="13" style="2" customWidth="1"/>
    <col min="14856" max="14856" width="15.140625" style="2" customWidth="1"/>
    <col min="14857" max="14857" width="12.7109375" style="2" customWidth="1"/>
    <col min="14858" max="14858" width="10.28515625" style="2" customWidth="1"/>
    <col min="14859" max="14859" width="10.42578125" style="2" customWidth="1"/>
    <col min="14860" max="14860" width="13.7109375" style="2" customWidth="1"/>
    <col min="14861" max="14861" width="12" style="2" customWidth="1"/>
    <col min="14862" max="14863" width="12.28515625" style="2" customWidth="1"/>
    <col min="14864" max="14864" width="14.5703125" style="2" customWidth="1"/>
    <col min="14865" max="14866" width="13.7109375" style="2" customWidth="1"/>
    <col min="14867" max="14867" width="15.7109375" style="2" customWidth="1"/>
    <col min="14868" max="14868" width="26.28515625" style="2" customWidth="1"/>
    <col min="14869" max="14869" width="79.5703125" style="2" customWidth="1"/>
    <col min="14870" max="14870" width="16.42578125" style="2" customWidth="1"/>
    <col min="14871" max="14871" width="12" style="2" customWidth="1"/>
    <col min="14872" max="14872" width="2.42578125" style="2" customWidth="1"/>
    <col min="14873" max="15104" width="9.140625" style="2"/>
    <col min="15105" max="15105" width="10.42578125" style="2" customWidth="1"/>
    <col min="15106" max="15106" width="45.5703125" style="2" customWidth="1"/>
    <col min="15107" max="15107" width="5" style="2" customWidth="1"/>
    <col min="15108" max="15108" width="5.28515625" style="2" customWidth="1"/>
    <col min="15109" max="15109" width="13.7109375" style="2" customWidth="1"/>
    <col min="15110" max="15110" width="12.85546875" style="2" customWidth="1"/>
    <col min="15111" max="15111" width="13" style="2" customWidth="1"/>
    <col min="15112" max="15112" width="15.140625" style="2" customWidth="1"/>
    <col min="15113" max="15113" width="12.7109375" style="2" customWidth="1"/>
    <col min="15114" max="15114" width="10.28515625" style="2" customWidth="1"/>
    <col min="15115" max="15115" width="10.42578125" style="2" customWidth="1"/>
    <col min="15116" max="15116" width="13.7109375" style="2" customWidth="1"/>
    <col min="15117" max="15117" width="12" style="2" customWidth="1"/>
    <col min="15118" max="15119" width="12.28515625" style="2" customWidth="1"/>
    <col min="15120" max="15120" width="14.5703125" style="2" customWidth="1"/>
    <col min="15121" max="15122" width="13.7109375" style="2" customWidth="1"/>
    <col min="15123" max="15123" width="15.7109375" style="2" customWidth="1"/>
    <col min="15124" max="15124" width="26.28515625" style="2" customWidth="1"/>
    <col min="15125" max="15125" width="79.5703125" style="2" customWidth="1"/>
    <col min="15126" max="15126" width="16.42578125" style="2" customWidth="1"/>
    <col min="15127" max="15127" width="12" style="2" customWidth="1"/>
    <col min="15128" max="15128" width="2.42578125" style="2" customWidth="1"/>
    <col min="15129" max="15360" width="9.140625" style="2"/>
    <col min="15361" max="15361" width="10.42578125" style="2" customWidth="1"/>
    <col min="15362" max="15362" width="45.5703125" style="2" customWidth="1"/>
    <col min="15363" max="15363" width="5" style="2" customWidth="1"/>
    <col min="15364" max="15364" width="5.28515625" style="2" customWidth="1"/>
    <col min="15365" max="15365" width="13.7109375" style="2" customWidth="1"/>
    <col min="15366" max="15366" width="12.85546875" style="2" customWidth="1"/>
    <col min="15367" max="15367" width="13" style="2" customWidth="1"/>
    <col min="15368" max="15368" width="15.140625" style="2" customWidth="1"/>
    <col min="15369" max="15369" width="12.7109375" style="2" customWidth="1"/>
    <col min="15370" max="15370" width="10.28515625" style="2" customWidth="1"/>
    <col min="15371" max="15371" width="10.42578125" style="2" customWidth="1"/>
    <col min="15372" max="15372" width="13.7109375" style="2" customWidth="1"/>
    <col min="15373" max="15373" width="12" style="2" customWidth="1"/>
    <col min="15374" max="15375" width="12.28515625" style="2" customWidth="1"/>
    <col min="15376" max="15376" width="14.5703125" style="2" customWidth="1"/>
    <col min="15377" max="15378" width="13.7109375" style="2" customWidth="1"/>
    <col min="15379" max="15379" width="15.7109375" style="2" customWidth="1"/>
    <col min="15380" max="15380" width="26.28515625" style="2" customWidth="1"/>
    <col min="15381" max="15381" width="79.5703125" style="2" customWidth="1"/>
    <col min="15382" max="15382" width="16.42578125" style="2" customWidth="1"/>
    <col min="15383" max="15383" width="12" style="2" customWidth="1"/>
    <col min="15384" max="15384" width="2.42578125" style="2" customWidth="1"/>
    <col min="15385" max="15616" width="9.140625" style="2"/>
    <col min="15617" max="15617" width="10.42578125" style="2" customWidth="1"/>
    <col min="15618" max="15618" width="45.5703125" style="2" customWidth="1"/>
    <col min="15619" max="15619" width="5" style="2" customWidth="1"/>
    <col min="15620" max="15620" width="5.28515625" style="2" customWidth="1"/>
    <col min="15621" max="15621" width="13.7109375" style="2" customWidth="1"/>
    <col min="15622" max="15622" width="12.85546875" style="2" customWidth="1"/>
    <col min="15623" max="15623" width="13" style="2" customWidth="1"/>
    <col min="15624" max="15624" width="15.140625" style="2" customWidth="1"/>
    <col min="15625" max="15625" width="12.7109375" style="2" customWidth="1"/>
    <col min="15626" max="15626" width="10.28515625" style="2" customWidth="1"/>
    <col min="15627" max="15627" width="10.42578125" style="2" customWidth="1"/>
    <col min="15628" max="15628" width="13.7109375" style="2" customWidth="1"/>
    <col min="15629" max="15629" width="12" style="2" customWidth="1"/>
    <col min="15630" max="15631" width="12.28515625" style="2" customWidth="1"/>
    <col min="15632" max="15632" width="14.5703125" style="2" customWidth="1"/>
    <col min="15633" max="15634" width="13.7109375" style="2" customWidth="1"/>
    <col min="15635" max="15635" width="15.7109375" style="2" customWidth="1"/>
    <col min="15636" max="15636" width="26.28515625" style="2" customWidth="1"/>
    <col min="15637" max="15637" width="79.5703125" style="2" customWidth="1"/>
    <col min="15638" max="15638" width="16.42578125" style="2" customWidth="1"/>
    <col min="15639" max="15639" width="12" style="2" customWidth="1"/>
    <col min="15640" max="15640" width="2.42578125" style="2" customWidth="1"/>
    <col min="15641" max="15872" width="9.140625" style="2"/>
    <col min="15873" max="15873" width="10.42578125" style="2" customWidth="1"/>
    <col min="15874" max="15874" width="45.5703125" style="2" customWidth="1"/>
    <col min="15875" max="15875" width="5" style="2" customWidth="1"/>
    <col min="15876" max="15876" width="5.28515625" style="2" customWidth="1"/>
    <col min="15877" max="15877" width="13.7109375" style="2" customWidth="1"/>
    <col min="15878" max="15878" width="12.85546875" style="2" customWidth="1"/>
    <col min="15879" max="15879" width="13" style="2" customWidth="1"/>
    <col min="15880" max="15880" width="15.140625" style="2" customWidth="1"/>
    <col min="15881" max="15881" width="12.7109375" style="2" customWidth="1"/>
    <col min="15882" max="15882" width="10.28515625" style="2" customWidth="1"/>
    <col min="15883" max="15883" width="10.42578125" style="2" customWidth="1"/>
    <col min="15884" max="15884" width="13.7109375" style="2" customWidth="1"/>
    <col min="15885" max="15885" width="12" style="2" customWidth="1"/>
    <col min="15886" max="15887" width="12.28515625" style="2" customWidth="1"/>
    <col min="15888" max="15888" width="14.5703125" style="2" customWidth="1"/>
    <col min="15889" max="15890" width="13.7109375" style="2" customWidth="1"/>
    <col min="15891" max="15891" width="15.7109375" style="2" customWidth="1"/>
    <col min="15892" max="15892" width="26.28515625" style="2" customWidth="1"/>
    <col min="15893" max="15893" width="79.5703125" style="2" customWidth="1"/>
    <col min="15894" max="15894" width="16.42578125" style="2" customWidth="1"/>
    <col min="15895" max="15895" width="12" style="2" customWidth="1"/>
    <col min="15896" max="15896" width="2.42578125" style="2" customWidth="1"/>
    <col min="15897" max="16128" width="9.140625" style="2"/>
    <col min="16129" max="16129" width="10.42578125" style="2" customWidth="1"/>
    <col min="16130" max="16130" width="45.5703125" style="2" customWidth="1"/>
    <col min="16131" max="16131" width="5" style="2" customWidth="1"/>
    <col min="16132" max="16132" width="5.28515625" style="2" customWidth="1"/>
    <col min="16133" max="16133" width="13.7109375" style="2" customWidth="1"/>
    <col min="16134" max="16134" width="12.85546875" style="2" customWidth="1"/>
    <col min="16135" max="16135" width="13" style="2" customWidth="1"/>
    <col min="16136" max="16136" width="15.140625" style="2" customWidth="1"/>
    <col min="16137" max="16137" width="12.7109375" style="2" customWidth="1"/>
    <col min="16138" max="16138" width="10.28515625" style="2" customWidth="1"/>
    <col min="16139" max="16139" width="10.42578125" style="2" customWidth="1"/>
    <col min="16140" max="16140" width="13.7109375" style="2" customWidth="1"/>
    <col min="16141" max="16141" width="12" style="2" customWidth="1"/>
    <col min="16142" max="16143" width="12.28515625" style="2" customWidth="1"/>
    <col min="16144" max="16144" width="14.5703125" style="2" customWidth="1"/>
    <col min="16145" max="16146" width="13.7109375" style="2" customWidth="1"/>
    <col min="16147" max="16147" width="15.7109375" style="2" customWidth="1"/>
    <col min="16148" max="16148" width="26.28515625" style="2" customWidth="1"/>
    <col min="16149" max="16149" width="79.5703125" style="2" customWidth="1"/>
    <col min="16150" max="16150" width="16.42578125" style="2" customWidth="1"/>
    <col min="16151" max="16151" width="12" style="2" customWidth="1"/>
    <col min="16152" max="16152" width="2.42578125" style="2" customWidth="1"/>
    <col min="16153" max="16384" width="9.140625" style="2"/>
  </cols>
  <sheetData>
    <row r="1" spans="1:23" s="1" customFormat="1">
      <c r="A1" s="426" t="s">
        <v>627</v>
      </c>
      <c r="B1" s="426"/>
      <c r="C1" s="426"/>
      <c r="D1" s="426"/>
      <c r="E1" s="426"/>
      <c r="F1" s="426"/>
      <c r="G1" s="426"/>
      <c r="H1" s="426"/>
      <c r="I1" s="426"/>
      <c r="J1" s="426"/>
      <c r="K1" s="426"/>
      <c r="L1" s="426"/>
      <c r="M1" s="426"/>
      <c r="N1" s="426"/>
      <c r="O1" s="426"/>
      <c r="P1" s="426"/>
      <c r="Q1" s="426"/>
      <c r="R1" s="426"/>
      <c r="S1" s="426"/>
      <c r="T1" s="426"/>
      <c r="U1" s="426"/>
      <c r="V1" s="426"/>
      <c r="W1" s="427"/>
    </row>
    <row r="2" spans="1:23" s="1" customFormat="1" ht="20.25" customHeight="1">
      <c r="A2" s="423" t="s">
        <v>0</v>
      </c>
      <c r="B2" s="423" t="s">
        <v>1</v>
      </c>
      <c r="C2" s="423" t="s">
        <v>2</v>
      </c>
      <c r="D2" s="423" t="s">
        <v>3</v>
      </c>
      <c r="E2" s="423"/>
      <c r="F2" s="423" t="s">
        <v>4</v>
      </c>
      <c r="G2" s="423" t="s">
        <v>5</v>
      </c>
      <c r="H2" s="423"/>
      <c r="I2" s="423" t="s">
        <v>6</v>
      </c>
      <c r="J2" s="423" t="s">
        <v>7</v>
      </c>
      <c r="K2" s="423"/>
      <c r="L2" s="423"/>
      <c r="M2" s="423"/>
      <c r="N2" s="423"/>
      <c r="O2" s="423"/>
      <c r="P2" s="423"/>
      <c r="Q2" s="423" t="s">
        <v>8</v>
      </c>
      <c r="R2" s="423" t="s">
        <v>9</v>
      </c>
      <c r="S2" s="423" t="s">
        <v>10</v>
      </c>
      <c r="T2" s="423" t="s">
        <v>11</v>
      </c>
      <c r="U2" s="423" t="s">
        <v>12</v>
      </c>
      <c r="V2" s="423" t="s">
        <v>13</v>
      </c>
      <c r="W2" s="423" t="s">
        <v>14</v>
      </c>
    </row>
    <row r="3" spans="1:23" s="1" customFormat="1" ht="15" customHeight="1">
      <c r="A3" s="423"/>
      <c r="B3" s="423"/>
      <c r="C3" s="423"/>
      <c r="D3" s="423" t="s">
        <v>15</v>
      </c>
      <c r="E3" s="423" t="s">
        <v>16</v>
      </c>
      <c r="F3" s="423"/>
      <c r="G3" s="423" t="s">
        <v>17</v>
      </c>
      <c r="H3" s="423" t="s">
        <v>18</v>
      </c>
      <c r="I3" s="423"/>
      <c r="J3" s="423" t="s">
        <v>17</v>
      </c>
      <c r="K3" s="423" t="s">
        <v>18</v>
      </c>
      <c r="L3" s="423" t="s">
        <v>19</v>
      </c>
      <c r="M3" s="423"/>
      <c r="N3" s="423"/>
      <c r="O3" s="423"/>
      <c r="P3" s="423"/>
      <c r="Q3" s="423"/>
      <c r="R3" s="423"/>
      <c r="S3" s="423"/>
      <c r="T3" s="423"/>
      <c r="U3" s="423"/>
      <c r="V3" s="423"/>
      <c r="W3" s="423"/>
    </row>
    <row r="4" spans="1:23" ht="81.75" customHeight="1">
      <c r="A4" s="423"/>
      <c r="B4" s="423"/>
      <c r="C4" s="423"/>
      <c r="D4" s="423"/>
      <c r="E4" s="423"/>
      <c r="F4" s="423"/>
      <c r="G4" s="423"/>
      <c r="H4" s="423"/>
      <c r="I4" s="423"/>
      <c r="J4" s="423"/>
      <c r="K4" s="423"/>
      <c r="L4" s="263" t="s">
        <v>20</v>
      </c>
      <c r="M4" s="263" t="s">
        <v>21</v>
      </c>
      <c r="N4" s="263" t="s">
        <v>22</v>
      </c>
      <c r="O4" s="263" t="s">
        <v>23</v>
      </c>
      <c r="P4" s="263" t="s">
        <v>24</v>
      </c>
      <c r="Q4" s="423"/>
      <c r="R4" s="423"/>
      <c r="S4" s="423"/>
      <c r="T4" s="423"/>
      <c r="U4" s="423"/>
      <c r="V4" s="423"/>
      <c r="W4" s="423"/>
    </row>
    <row r="5" spans="1:23">
      <c r="A5" s="263">
        <v>1</v>
      </c>
      <c r="B5" s="263">
        <v>2</v>
      </c>
      <c r="C5" s="263">
        <v>3</v>
      </c>
      <c r="D5" s="263">
        <v>4</v>
      </c>
      <c r="E5" s="263">
        <v>5</v>
      </c>
      <c r="F5" s="263">
        <v>6</v>
      </c>
      <c r="G5" s="263">
        <v>7</v>
      </c>
      <c r="H5" s="263">
        <v>7</v>
      </c>
      <c r="I5" s="263">
        <v>8</v>
      </c>
      <c r="J5" s="263">
        <v>9</v>
      </c>
      <c r="K5" s="263">
        <v>10</v>
      </c>
      <c r="L5" s="263">
        <v>11</v>
      </c>
      <c r="M5" s="263">
        <v>12</v>
      </c>
      <c r="N5" s="263">
        <v>13</v>
      </c>
      <c r="O5" s="263">
        <v>14</v>
      </c>
      <c r="P5" s="263">
        <v>15</v>
      </c>
      <c r="Q5" s="263">
        <v>16</v>
      </c>
      <c r="R5" s="263">
        <v>17</v>
      </c>
      <c r="S5" s="263">
        <v>18</v>
      </c>
      <c r="T5" s="263">
        <v>19</v>
      </c>
      <c r="U5" s="263">
        <v>20</v>
      </c>
      <c r="V5" s="263">
        <v>21</v>
      </c>
      <c r="W5" s="263">
        <v>22</v>
      </c>
    </row>
    <row r="6" spans="1:23" s="5" customFormat="1">
      <c r="A6" s="3">
        <v>1</v>
      </c>
      <c r="B6" s="4" t="s">
        <v>25</v>
      </c>
      <c r="C6" s="4"/>
      <c r="D6" s="4"/>
      <c r="E6" s="4"/>
      <c r="F6" s="4"/>
      <c r="G6" s="4"/>
      <c r="H6" s="4"/>
      <c r="I6" s="293"/>
      <c r="J6" s="4"/>
      <c r="K6" s="4"/>
      <c r="L6" s="4"/>
      <c r="M6" s="4"/>
      <c r="N6" s="4"/>
      <c r="O6" s="4"/>
      <c r="P6" s="4"/>
      <c r="Q6" s="4"/>
      <c r="R6" s="4"/>
      <c r="S6" s="4"/>
      <c r="T6" s="4"/>
      <c r="U6" s="4"/>
      <c r="V6" s="4"/>
      <c r="W6" s="4"/>
    </row>
    <row r="7" spans="1:23" s="10" customFormat="1">
      <c r="A7" s="6" t="s">
        <v>26</v>
      </c>
      <c r="B7" s="8" t="s">
        <v>27</v>
      </c>
      <c r="C7" s="8"/>
      <c r="D7" s="8">
        <v>2</v>
      </c>
      <c r="E7" s="8">
        <f>E8+E9</f>
        <v>279181.5</v>
      </c>
      <c r="F7" s="8"/>
      <c r="G7" s="8"/>
      <c r="H7" s="8"/>
      <c r="I7" s="9">
        <f>I8+I9</f>
        <v>2100</v>
      </c>
      <c r="J7" s="8"/>
      <c r="K7" s="8"/>
      <c r="L7" s="9">
        <f>L8+L9</f>
        <v>52051.5</v>
      </c>
      <c r="M7" s="9">
        <f>M8+M9</f>
        <v>32340</v>
      </c>
      <c r="N7" s="9">
        <f>N8+N9</f>
        <v>34690</v>
      </c>
      <c r="O7" s="9">
        <f>O8+O9</f>
        <v>0</v>
      </c>
      <c r="P7" s="9">
        <f>P8+P9</f>
        <v>158000</v>
      </c>
      <c r="Q7" s="8"/>
      <c r="R7" s="8"/>
      <c r="S7" s="8"/>
      <c r="T7" s="8"/>
      <c r="U7" s="8"/>
      <c r="V7" s="8"/>
      <c r="W7" s="8"/>
    </row>
    <row r="8" spans="1:23" ht="169.5" customHeight="1">
      <c r="A8" s="263" t="s">
        <v>447</v>
      </c>
      <c r="B8" s="16" t="s">
        <v>448</v>
      </c>
      <c r="C8" s="294">
        <v>1</v>
      </c>
      <c r="D8" s="294">
        <v>1</v>
      </c>
      <c r="E8" s="294">
        <f>I8+O8+P8+N8+M8+L8</f>
        <v>119081.5</v>
      </c>
      <c r="F8" s="262" t="s">
        <v>34</v>
      </c>
      <c r="G8" s="262" t="s">
        <v>449</v>
      </c>
      <c r="H8" s="262">
        <v>2018</v>
      </c>
      <c r="I8" s="262"/>
      <c r="J8" s="262">
        <v>2020</v>
      </c>
      <c r="K8" s="262">
        <v>2022</v>
      </c>
      <c r="L8" s="294">
        <v>52051.5</v>
      </c>
      <c r="M8" s="294">
        <v>32340</v>
      </c>
      <c r="N8" s="294">
        <v>34690</v>
      </c>
      <c r="O8" s="294"/>
      <c r="P8" s="13"/>
      <c r="Q8" s="262">
        <v>14.03</v>
      </c>
      <c r="R8" s="16" t="s">
        <v>450</v>
      </c>
      <c r="S8" s="262" t="s">
        <v>58</v>
      </c>
      <c r="T8" s="295" t="s">
        <v>451</v>
      </c>
      <c r="U8" s="295" t="s">
        <v>452</v>
      </c>
      <c r="V8" s="296" t="s">
        <v>592</v>
      </c>
      <c r="W8" s="13"/>
    </row>
    <row r="9" spans="1:23" ht="204.75" customHeight="1">
      <c r="A9" s="263" t="s">
        <v>453</v>
      </c>
      <c r="B9" s="16" t="s">
        <v>454</v>
      </c>
      <c r="C9" s="294">
        <v>1</v>
      </c>
      <c r="D9" s="294">
        <v>1</v>
      </c>
      <c r="E9" s="294">
        <f>I9+O9+P9+N9+M9+L9</f>
        <v>160100</v>
      </c>
      <c r="F9" s="262" t="s">
        <v>34</v>
      </c>
      <c r="G9" s="262" t="s">
        <v>455</v>
      </c>
      <c r="H9" s="262">
        <v>2022</v>
      </c>
      <c r="I9" s="262">
        <v>2100</v>
      </c>
      <c r="J9" s="262">
        <v>2023</v>
      </c>
      <c r="K9" s="262">
        <v>2024</v>
      </c>
      <c r="L9" s="294"/>
      <c r="M9" s="294"/>
      <c r="N9" s="294"/>
      <c r="O9" s="294"/>
      <c r="P9" s="294">
        <v>158000</v>
      </c>
      <c r="Q9" s="294">
        <v>8</v>
      </c>
      <c r="R9" s="16" t="s">
        <v>450</v>
      </c>
      <c r="S9" s="262" t="s">
        <v>456</v>
      </c>
      <c r="T9" s="295" t="s">
        <v>457</v>
      </c>
      <c r="U9" s="295" t="s">
        <v>458</v>
      </c>
      <c r="V9" s="296" t="s">
        <v>593</v>
      </c>
      <c r="W9" s="13"/>
    </row>
    <row r="10" spans="1:23" s="10" customFormat="1">
      <c r="A10" s="6" t="s">
        <v>28</v>
      </c>
      <c r="B10" s="8" t="s">
        <v>29</v>
      </c>
      <c r="C10" s="8"/>
      <c r="D10" s="8">
        <f>D11</f>
        <v>42</v>
      </c>
      <c r="E10" s="8">
        <f>E11</f>
        <v>64834.78</v>
      </c>
      <c r="F10" s="8"/>
      <c r="G10" s="8"/>
      <c r="H10" s="8"/>
      <c r="I10" s="8">
        <f>I11</f>
        <v>0</v>
      </c>
      <c r="J10" s="8"/>
      <c r="K10" s="8"/>
      <c r="L10" s="8">
        <f>L11</f>
        <v>15931.58</v>
      </c>
      <c r="M10" s="8">
        <f>M11</f>
        <v>12225.8</v>
      </c>
      <c r="N10" s="8">
        <f>N11</f>
        <v>12225.8</v>
      </c>
      <c r="O10" s="8">
        <f>O11</f>
        <v>12225.8</v>
      </c>
      <c r="P10" s="8">
        <f>P11</f>
        <v>12225.8</v>
      </c>
      <c r="Q10" s="8"/>
      <c r="R10" s="8"/>
      <c r="S10" s="8"/>
      <c r="T10" s="8"/>
      <c r="U10" s="11"/>
      <c r="V10" s="8"/>
      <c r="W10" s="8"/>
    </row>
    <row r="11" spans="1:23" ht="120">
      <c r="A11" s="263" t="s">
        <v>459</v>
      </c>
      <c r="B11" s="16" t="s">
        <v>460</v>
      </c>
      <c r="C11" s="13">
        <v>42</v>
      </c>
      <c r="D11" s="13">
        <v>42</v>
      </c>
      <c r="E11" s="294">
        <f>I11+O11+P11+N11+M11+L11</f>
        <v>64834.78</v>
      </c>
      <c r="F11" s="262" t="s">
        <v>34</v>
      </c>
      <c r="G11" s="262">
        <v>2018</v>
      </c>
      <c r="H11" s="262">
        <v>2018</v>
      </c>
      <c r="I11" s="13"/>
      <c r="J11" s="262">
        <v>2020</v>
      </c>
      <c r="K11" s="262">
        <v>2024</v>
      </c>
      <c r="L11" s="297">
        <v>15931.58</v>
      </c>
      <c r="M11" s="297">
        <v>12225.8</v>
      </c>
      <c r="N11" s="297">
        <v>12225.8</v>
      </c>
      <c r="O11" s="297">
        <v>12225.8</v>
      </c>
      <c r="P11" s="297">
        <v>12225.8</v>
      </c>
      <c r="Q11" s="13"/>
      <c r="R11" s="16" t="s">
        <v>450</v>
      </c>
      <c r="S11" s="262" t="s">
        <v>58</v>
      </c>
      <c r="T11" s="295" t="s">
        <v>461</v>
      </c>
      <c r="U11" s="295" t="s">
        <v>462</v>
      </c>
      <c r="V11" s="296" t="s">
        <v>592</v>
      </c>
      <c r="W11" s="296"/>
    </row>
    <row r="12" spans="1:23" s="10" customFormat="1">
      <c r="A12" s="6" t="s">
        <v>30</v>
      </c>
      <c r="B12" s="8" t="s">
        <v>31</v>
      </c>
      <c r="C12" s="8"/>
      <c r="D12" s="8">
        <f>D13+D14</f>
        <v>19.46</v>
      </c>
      <c r="E12" s="8">
        <f>E13+E14</f>
        <v>152876.29999999999</v>
      </c>
      <c r="F12" s="8"/>
      <c r="G12" s="8"/>
      <c r="H12" s="8"/>
      <c r="I12" s="8">
        <f>I13+I14</f>
        <v>0</v>
      </c>
      <c r="J12" s="8"/>
      <c r="K12" s="8"/>
      <c r="L12" s="8">
        <f>L13+L14</f>
        <v>876.3</v>
      </c>
      <c r="M12" s="8">
        <f>M13+M14</f>
        <v>0</v>
      </c>
      <c r="N12" s="8">
        <f>N13+N14</f>
        <v>0</v>
      </c>
      <c r="O12" s="8">
        <f>O13+O14</f>
        <v>0</v>
      </c>
      <c r="P12" s="8">
        <f>P13+P14</f>
        <v>152000</v>
      </c>
      <c r="Q12" s="8"/>
      <c r="R12" s="8"/>
      <c r="S12" s="8"/>
      <c r="T12" s="8"/>
      <c r="U12" s="8"/>
      <c r="V12" s="8"/>
      <c r="W12" s="8"/>
    </row>
    <row r="13" spans="1:23" ht="120">
      <c r="A13" s="263" t="s">
        <v>463</v>
      </c>
      <c r="B13" s="298" t="s">
        <v>464</v>
      </c>
      <c r="C13" s="13" t="s">
        <v>465</v>
      </c>
      <c r="D13" s="13">
        <v>0.46</v>
      </c>
      <c r="E13" s="294">
        <f>I13+O13+P13+N13+M13+L13</f>
        <v>876.3</v>
      </c>
      <c r="F13" s="262" t="s">
        <v>34</v>
      </c>
      <c r="G13" s="262">
        <v>2018</v>
      </c>
      <c r="H13" s="262">
        <v>2018</v>
      </c>
      <c r="I13" s="13"/>
      <c r="J13" s="262">
        <v>2020</v>
      </c>
      <c r="K13" s="262">
        <v>2020</v>
      </c>
      <c r="L13" s="297">
        <v>876.3</v>
      </c>
      <c r="M13" s="297"/>
      <c r="N13" s="297"/>
      <c r="O13" s="297"/>
      <c r="P13" s="297"/>
      <c r="Q13" s="13"/>
      <c r="R13" s="16" t="s">
        <v>450</v>
      </c>
      <c r="S13" s="13" t="s">
        <v>466</v>
      </c>
      <c r="T13" s="295" t="s">
        <v>461</v>
      </c>
      <c r="U13" s="295" t="s">
        <v>467</v>
      </c>
      <c r="V13" s="296" t="s">
        <v>647</v>
      </c>
      <c r="W13" s="13"/>
    </row>
    <row r="14" spans="1:23" ht="105">
      <c r="A14" s="263" t="s">
        <v>468</v>
      </c>
      <c r="B14" s="298" t="s">
        <v>469</v>
      </c>
      <c r="C14" s="13" t="s">
        <v>470</v>
      </c>
      <c r="D14" s="13">
        <v>19</v>
      </c>
      <c r="E14" s="294">
        <f>I14+O14+P14+N14+M14+L14</f>
        <v>152000</v>
      </c>
      <c r="F14" s="262" t="s">
        <v>34</v>
      </c>
      <c r="G14" s="262">
        <v>2016</v>
      </c>
      <c r="H14" s="262">
        <v>2016</v>
      </c>
      <c r="I14" s="13"/>
      <c r="J14" s="262">
        <v>2024</v>
      </c>
      <c r="K14" s="262">
        <v>2024</v>
      </c>
      <c r="L14" s="297"/>
      <c r="M14" s="297"/>
      <c r="N14" s="297"/>
      <c r="O14" s="297"/>
      <c r="P14" s="297">
        <f>172000-20000</f>
        <v>152000</v>
      </c>
      <c r="Q14" s="13"/>
      <c r="R14" s="16" t="s">
        <v>450</v>
      </c>
      <c r="S14" s="13" t="s">
        <v>471</v>
      </c>
      <c r="T14" s="295" t="s">
        <v>472</v>
      </c>
      <c r="U14" s="295" t="s">
        <v>473</v>
      </c>
      <c r="V14" s="296" t="s">
        <v>594</v>
      </c>
      <c r="W14" s="13"/>
    </row>
    <row r="15" spans="1:23" s="10" customFormat="1">
      <c r="A15" s="6" t="s">
        <v>32</v>
      </c>
      <c r="B15" s="8" t="s">
        <v>33</v>
      </c>
      <c r="C15" s="8"/>
      <c r="D15" s="8">
        <f>D16</f>
        <v>8.9</v>
      </c>
      <c r="E15" s="8">
        <f>E16</f>
        <v>27512.63</v>
      </c>
      <c r="F15" s="8"/>
      <c r="G15" s="8"/>
      <c r="H15" s="8"/>
      <c r="I15" s="8">
        <f>I16</f>
        <v>0</v>
      </c>
      <c r="J15" s="8"/>
      <c r="K15" s="8"/>
      <c r="L15" s="8">
        <f>L16</f>
        <v>0</v>
      </c>
      <c r="M15" s="8">
        <f>M16</f>
        <v>0</v>
      </c>
      <c r="N15" s="8">
        <f>N16</f>
        <v>27512.63</v>
      </c>
      <c r="O15" s="8">
        <f>O16</f>
        <v>0</v>
      </c>
      <c r="P15" s="8">
        <f>P16</f>
        <v>0</v>
      </c>
      <c r="Q15" s="8"/>
      <c r="R15" s="8"/>
      <c r="S15" s="8"/>
      <c r="T15" s="8"/>
      <c r="U15" s="8"/>
      <c r="V15" s="8"/>
      <c r="W15" s="8"/>
    </row>
    <row r="16" spans="1:23" ht="45">
      <c r="A16" s="263" t="s">
        <v>474</v>
      </c>
      <c r="B16" s="298" t="s">
        <v>475</v>
      </c>
      <c r="C16" s="13" t="s">
        <v>476</v>
      </c>
      <c r="D16" s="13">
        <v>8.9</v>
      </c>
      <c r="E16" s="294">
        <f>I16+O16+P16+N16+M16+L16</f>
        <v>27512.63</v>
      </c>
      <c r="F16" s="262" t="s">
        <v>34</v>
      </c>
      <c r="G16" s="262">
        <v>2016</v>
      </c>
      <c r="H16" s="262">
        <v>2016</v>
      </c>
      <c r="I16" s="262"/>
      <c r="J16" s="262">
        <v>2022</v>
      </c>
      <c r="K16" s="262">
        <v>2022</v>
      </c>
      <c r="L16" s="13"/>
      <c r="M16" s="294"/>
      <c r="N16" s="294">
        <v>27512.63</v>
      </c>
      <c r="O16" s="13"/>
      <c r="P16" s="13"/>
      <c r="Q16" s="13"/>
      <c r="R16" s="16" t="s">
        <v>450</v>
      </c>
      <c r="S16" s="13" t="s">
        <v>477</v>
      </c>
      <c r="T16" s="13" t="s">
        <v>35</v>
      </c>
      <c r="U16" s="295" t="s">
        <v>478</v>
      </c>
      <c r="V16" s="296" t="s">
        <v>631</v>
      </c>
      <c r="W16" s="296"/>
    </row>
    <row r="17" spans="1:23">
      <c r="A17" s="260"/>
      <c r="B17" s="405" t="s">
        <v>36</v>
      </c>
      <c r="C17" s="405"/>
      <c r="D17" s="405"/>
      <c r="E17" s="19">
        <f>E15+E12+E10+E7</f>
        <v>524405.21</v>
      </c>
      <c r="F17" s="19"/>
      <c r="G17" s="19"/>
      <c r="H17" s="19"/>
      <c r="I17" s="20">
        <f>I15+I12+I10+I7</f>
        <v>2100</v>
      </c>
      <c r="J17" s="19"/>
      <c r="K17" s="19"/>
      <c r="L17" s="19">
        <f>L15+L12+L10+L7</f>
        <v>68859.38</v>
      </c>
      <c r="M17" s="19">
        <f>M15+M12+M10+M7</f>
        <v>44565.8</v>
      </c>
      <c r="N17" s="19">
        <f>N15+N12+N10+N7</f>
        <v>74428.429999999993</v>
      </c>
      <c r="O17" s="19">
        <f>O15+O12+O10+O7</f>
        <v>12225.8</v>
      </c>
      <c r="P17" s="19">
        <f>P15+P12+P10+P7</f>
        <v>322225.8</v>
      </c>
      <c r="Q17" s="19"/>
      <c r="R17" s="16"/>
      <c r="S17" s="19"/>
      <c r="T17" s="19"/>
      <c r="U17" s="19"/>
      <c r="V17" s="19"/>
      <c r="W17" s="19"/>
    </row>
    <row r="18" spans="1:23" s="5" customFormat="1">
      <c r="A18" s="3" t="s">
        <v>37</v>
      </c>
      <c r="B18" s="4" t="s">
        <v>38</v>
      </c>
      <c r="C18" s="4"/>
      <c r="D18" s="4"/>
      <c r="E18" s="4"/>
      <c r="F18" s="4"/>
      <c r="G18" s="4"/>
      <c r="H18" s="4"/>
      <c r="I18" s="4"/>
      <c r="J18" s="4"/>
      <c r="K18" s="4"/>
      <c r="L18" s="4"/>
      <c r="M18" s="4"/>
      <c r="N18" s="4"/>
      <c r="O18" s="4"/>
      <c r="P18" s="4"/>
      <c r="Q18" s="4"/>
      <c r="R18" s="4"/>
      <c r="S18" s="4"/>
      <c r="T18" s="4"/>
      <c r="U18" s="4"/>
      <c r="V18" s="4"/>
      <c r="W18" s="4"/>
    </row>
    <row r="19" spans="1:23" s="10" customFormat="1">
      <c r="A19" s="6" t="s">
        <v>39</v>
      </c>
      <c r="B19" s="8" t="s">
        <v>27</v>
      </c>
      <c r="C19" s="8"/>
      <c r="D19" s="8">
        <f>SUM(D20:D27)</f>
        <v>8</v>
      </c>
      <c r="E19" s="8">
        <f>SUM(E20:E27)</f>
        <v>420398.95999999996</v>
      </c>
      <c r="F19" s="8"/>
      <c r="G19" s="8"/>
      <c r="H19" s="8"/>
      <c r="I19" s="9">
        <f>SUM(I20:I27)</f>
        <v>1161</v>
      </c>
      <c r="J19" s="8"/>
      <c r="K19" s="8"/>
      <c r="L19" s="8">
        <f>SUM(L20:L27)</f>
        <v>16132.37</v>
      </c>
      <c r="M19" s="8">
        <f>SUM(M20:M27)</f>
        <v>99320.73</v>
      </c>
      <c r="N19" s="8">
        <f>SUM(N20:N27)</f>
        <v>68201.86</v>
      </c>
      <c r="O19" s="8">
        <f>SUM(O20:O27)</f>
        <v>168947</v>
      </c>
      <c r="P19" s="8">
        <f>SUM(P20:P27)</f>
        <v>66636</v>
      </c>
      <c r="Q19" s="8"/>
      <c r="R19" s="8"/>
      <c r="S19" s="8"/>
      <c r="T19" s="8"/>
      <c r="U19" s="8"/>
      <c r="V19" s="8"/>
      <c r="W19" s="8"/>
    </row>
    <row r="20" spans="1:23" ht="187.5" customHeight="1">
      <c r="A20" s="263" t="s">
        <v>40</v>
      </c>
      <c r="B20" s="16" t="s">
        <v>41</v>
      </c>
      <c r="C20" s="263">
        <v>1</v>
      </c>
      <c r="D20" s="263">
        <v>1</v>
      </c>
      <c r="E20" s="294">
        <f t="shared" ref="E20:E27" si="0">I20+O20+P20+N20+M20+L20</f>
        <v>13232.73</v>
      </c>
      <c r="F20" s="262" t="s">
        <v>479</v>
      </c>
      <c r="G20" s="296" t="s">
        <v>480</v>
      </c>
      <c r="H20" s="296" t="s">
        <v>480</v>
      </c>
      <c r="I20" s="296">
        <v>126</v>
      </c>
      <c r="J20" s="296">
        <v>2021</v>
      </c>
      <c r="K20" s="296">
        <v>2021</v>
      </c>
      <c r="L20" s="290"/>
      <c r="M20" s="296">
        <v>13106.73</v>
      </c>
      <c r="N20" s="13"/>
      <c r="O20" s="13"/>
      <c r="P20" s="13"/>
      <c r="Q20" s="290">
        <v>30.41</v>
      </c>
      <c r="R20" s="16" t="s">
        <v>42</v>
      </c>
      <c r="S20" s="296" t="s">
        <v>43</v>
      </c>
      <c r="T20" s="296" t="s">
        <v>481</v>
      </c>
      <c r="U20" s="295" t="s">
        <v>44</v>
      </c>
      <c r="V20" s="296" t="s">
        <v>595</v>
      </c>
      <c r="W20" s="13"/>
    </row>
    <row r="21" spans="1:23" ht="90">
      <c r="A21" s="263" t="s">
        <v>410</v>
      </c>
      <c r="B21" s="298" t="s">
        <v>482</v>
      </c>
      <c r="C21" s="263">
        <v>1</v>
      </c>
      <c r="D21" s="263">
        <v>1</v>
      </c>
      <c r="E21" s="294">
        <f t="shared" si="0"/>
        <v>37214</v>
      </c>
      <c r="F21" s="262" t="s">
        <v>34</v>
      </c>
      <c r="G21" s="296">
        <v>2016</v>
      </c>
      <c r="H21" s="296">
        <v>2016</v>
      </c>
      <c r="I21" s="13"/>
      <c r="J21" s="296">
        <v>2021</v>
      </c>
      <c r="K21" s="296">
        <v>2021</v>
      </c>
      <c r="L21" s="290"/>
      <c r="M21" s="290">
        <v>37214</v>
      </c>
      <c r="N21" s="13"/>
      <c r="O21" s="13"/>
      <c r="P21" s="13"/>
      <c r="Q21" s="13"/>
      <c r="R21" s="16" t="s">
        <v>483</v>
      </c>
      <c r="S21" s="296" t="s">
        <v>43</v>
      </c>
      <c r="T21" s="296" t="s">
        <v>484</v>
      </c>
      <c r="U21" s="295" t="s">
        <v>485</v>
      </c>
      <c r="V21" s="296" t="s">
        <v>595</v>
      </c>
      <c r="W21" s="13"/>
    </row>
    <row r="22" spans="1:23" ht="229.5" customHeight="1">
      <c r="A22" s="2" t="s">
        <v>486</v>
      </c>
      <c r="B22" s="298" t="s">
        <v>45</v>
      </c>
      <c r="C22" s="294">
        <v>1</v>
      </c>
      <c r="D22" s="294">
        <v>1</v>
      </c>
      <c r="E22" s="294">
        <f t="shared" si="0"/>
        <v>16132.37</v>
      </c>
      <c r="F22" s="262" t="s">
        <v>34</v>
      </c>
      <c r="G22" s="296">
        <v>2014</v>
      </c>
      <c r="H22" s="296">
        <v>2014</v>
      </c>
      <c r="I22" s="13"/>
      <c r="J22" s="296">
        <v>2021</v>
      </c>
      <c r="K22" s="296">
        <v>2021</v>
      </c>
      <c r="L22" s="290">
        <v>16132.37</v>
      </c>
      <c r="M22" s="13"/>
      <c r="N22" s="13"/>
      <c r="O22" s="13"/>
      <c r="P22" s="13"/>
      <c r="Q22" s="13"/>
      <c r="R22" s="25" t="s">
        <v>42</v>
      </c>
      <c r="S22" s="296" t="s">
        <v>46</v>
      </c>
      <c r="T22" s="296" t="s">
        <v>487</v>
      </c>
      <c r="U22" s="295" t="s">
        <v>47</v>
      </c>
      <c r="V22" s="296" t="s">
        <v>628</v>
      </c>
      <c r="W22" s="13"/>
    </row>
    <row r="23" spans="1:23" ht="29.25" customHeight="1">
      <c r="A23" s="263" t="s">
        <v>409</v>
      </c>
      <c r="B23" s="298" t="s">
        <v>488</v>
      </c>
      <c r="C23" s="294">
        <v>1</v>
      </c>
      <c r="D23" s="294">
        <v>1</v>
      </c>
      <c r="E23" s="294">
        <f t="shared" si="0"/>
        <v>56472</v>
      </c>
      <c r="F23" s="262" t="s">
        <v>57</v>
      </c>
      <c r="G23" s="296">
        <v>2022</v>
      </c>
      <c r="H23" s="296">
        <v>2022</v>
      </c>
      <c r="I23" s="13">
        <v>345</v>
      </c>
      <c r="J23" s="296">
        <v>2023</v>
      </c>
      <c r="K23" s="296">
        <v>2024</v>
      </c>
      <c r="L23" s="13"/>
      <c r="M23" s="13"/>
      <c r="N23" s="13"/>
      <c r="O23" s="294">
        <f>28236-345</f>
        <v>27891</v>
      </c>
      <c r="P23" s="294">
        <v>28236</v>
      </c>
      <c r="Q23" s="13"/>
      <c r="R23" s="25" t="s">
        <v>450</v>
      </c>
      <c r="S23" s="296" t="s">
        <v>46</v>
      </c>
      <c r="T23" s="296" t="s">
        <v>489</v>
      </c>
      <c r="U23" s="295" t="s">
        <v>490</v>
      </c>
      <c r="V23" s="296" t="s">
        <v>628</v>
      </c>
      <c r="W23" s="13"/>
    </row>
    <row r="24" spans="1:23" ht="90">
      <c r="A24" s="263" t="s">
        <v>491</v>
      </c>
      <c r="B24" s="299" t="s">
        <v>492</v>
      </c>
      <c r="C24" s="294">
        <v>1</v>
      </c>
      <c r="D24" s="294">
        <v>1</v>
      </c>
      <c r="E24" s="294">
        <f t="shared" si="0"/>
        <v>113245.86</v>
      </c>
      <c r="F24" s="262" t="s">
        <v>34</v>
      </c>
      <c r="G24" s="296">
        <v>2018</v>
      </c>
      <c r="H24" s="296">
        <v>2018</v>
      </c>
      <c r="I24" s="13"/>
      <c r="J24" s="296">
        <v>2021</v>
      </c>
      <c r="K24" s="296">
        <v>2023</v>
      </c>
      <c r="L24" s="294"/>
      <c r="M24" s="294">
        <v>36000</v>
      </c>
      <c r="N24" s="294">
        <v>35845.86</v>
      </c>
      <c r="O24" s="294">
        <v>41400</v>
      </c>
      <c r="P24" s="13"/>
      <c r="Q24" s="294">
        <v>22</v>
      </c>
      <c r="R24" s="25" t="s">
        <v>483</v>
      </c>
      <c r="S24" s="296" t="s">
        <v>493</v>
      </c>
      <c r="T24" s="296" t="s">
        <v>494</v>
      </c>
      <c r="U24" s="295" t="s">
        <v>495</v>
      </c>
      <c r="V24" s="296" t="s">
        <v>639</v>
      </c>
      <c r="W24" s="13"/>
    </row>
    <row r="25" spans="1:23" ht="59.25" customHeight="1">
      <c r="A25" s="263" t="s">
        <v>496</v>
      </c>
      <c r="B25" s="299" t="s">
        <v>48</v>
      </c>
      <c r="C25" s="294">
        <v>1</v>
      </c>
      <c r="D25" s="294">
        <v>1</v>
      </c>
      <c r="E25" s="294">
        <f t="shared" si="0"/>
        <v>110000</v>
      </c>
      <c r="F25" s="262" t="s">
        <v>34</v>
      </c>
      <c r="G25" s="296">
        <v>2018</v>
      </c>
      <c r="H25" s="296">
        <v>2018</v>
      </c>
      <c r="I25" s="13"/>
      <c r="J25" s="296">
        <v>2021</v>
      </c>
      <c r="K25" s="296">
        <v>2023</v>
      </c>
      <c r="L25" s="13"/>
      <c r="M25" s="294">
        <f>23000-10000</f>
        <v>13000</v>
      </c>
      <c r="N25" s="294">
        <f>25000-10000</f>
        <v>15000</v>
      </c>
      <c r="O25" s="294">
        <f>102000-20000</f>
        <v>82000</v>
      </c>
      <c r="P25" s="13"/>
      <c r="Q25" s="13"/>
      <c r="R25" s="25" t="s">
        <v>450</v>
      </c>
      <c r="S25" s="296" t="s">
        <v>43</v>
      </c>
      <c r="T25" s="296" t="s">
        <v>497</v>
      </c>
      <c r="U25" s="295" t="s">
        <v>50</v>
      </c>
      <c r="V25" s="296" t="s">
        <v>629</v>
      </c>
      <c r="W25" s="13"/>
    </row>
    <row r="26" spans="1:23" ht="286.5" customHeight="1">
      <c r="A26" s="263" t="s">
        <v>498</v>
      </c>
      <c r="B26" s="299" t="s">
        <v>499</v>
      </c>
      <c r="C26" s="294">
        <v>1</v>
      </c>
      <c r="D26" s="294">
        <v>1</v>
      </c>
      <c r="E26" s="294">
        <f t="shared" si="0"/>
        <v>35357</v>
      </c>
      <c r="F26" s="262" t="s">
        <v>57</v>
      </c>
      <c r="G26" s="296">
        <v>2020</v>
      </c>
      <c r="H26" s="296">
        <v>2020</v>
      </c>
      <c r="I26" s="294">
        <v>345</v>
      </c>
      <c r="J26" s="296">
        <v>2022</v>
      </c>
      <c r="K26" s="296">
        <v>2023</v>
      </c>
      <c r="L26" s="13"/>
      <c r="M26" s="13"/>
      <c r="N26" s="294">
        <v>17356</v>
      </c>
      <c r="O26" s="294">
        <v>17656</v>
      </c>
      <c r="P26" s="294"/>
      <c r="Q26" s="13"/>
      <c r="R26" s="25" t="s">
        <v>483</v>
      </c>
      <c r="S26" s="296" t="s">
        <v>500</v>
      </c>
      <c r="T26" s="296" t="s">
        <v>501</v>
      </c>
      <c r="U26" s="295" t="s">
        <v>502</v>
      </c>
      <c r="V26" s="296" t="s">
        <v>640</v>
      </c>
      <c r="W26" s="13"/>
    </row>
    <row r="27" spans="1:23" ht="165">
      <c r="A27" s="263" t="s">
        <v>503</v>
      </c>
      <c r="B27" s="299" t="s">
        <v>504</v>
      </c>
      <c r="C27" s="294">
        <v>1</v>
      </c>
      <c r="D27" s="294">
        <v>1</v>
      </c>
      <c r="E27" s="294">
        <f t="shared" si="0"/>
        <v>38745</v>
      </c>
      <c r="F27" s="262" t="s">
        <v>57</v>
      </c>
      <c r="G27" s="296">
        <v>2020</v>
      </c>
      <c r="H27" s="296">
        <v>2020</v>
      </c>
      <c r="I27" s="294">
        <v>345</v>
      </c>
      <c r="J27" s="296">
        <v>2024</v>
      </c>
      <c r="K27" s="296">
        <v>2024</v>
      </c>
      <c r="L27" s="13"/>
      <c r="M27" s="13"/>
      <c r="N27" s="294"/>
      <c r="O27" s="294"/>
      <c r="P27" s="294">
        <v>38400</v>
      </c>
      <c r="Q27" s="13"/>
      <c r="R27" s="25" t="s">
        <v>450</v>
      </c>
      <c r="S27" s="296" t="s">
        <v>46</v>
      </c>
      <c r="T27" s="296" t="s">
        <v>505</v>
      </c>
      <c r="U27" s="295" t="s">
        <v>506</v>
      </c>
      <c r="V27" s="296" t="s">
        <v>641</v>
      </c>
      <c r="W27" s="13"/>
    </row>
    <row r="28" spans="1:23" s="10" customFormat="1">
      <c r="A28" s="6" t="s">
        <v>51</v>
      </c>
      <c r="B28" s="8" t="s">
        <v>29</v>
      </c>
      <c r="C28" s="8"/>
      <c r="D28" s="8">
        <f>SUM(D29:D40)</f>
        <v>12</v>
      </c>
      <c r="E28" s="8">
        <f>SUM(E29:E40)</f>
        <v>203957.96399999998</v>
      </c>
      <c r="F28" s="8"/>
      <c r="G28" s="8"/>
      <c r="H28" s="8"/>
      <c r="I28" s="8">
        <f>SUM(I29:I40)</f>
        <v>1499.27</v>
      </c>
      <c r="J28" s="8"/>
      <c r="K28" s="8"/>
      <c r="L28" s="8">
        <f>SUM(L29:L40)</f>
        <v>74172.014999999999</v>
      </c>
      <c r="M28" s="8">
        <f>SUM(M29:M40)</f>
        <v>40141.99</v>
      </c>
      <c r="N28" s="8">
        <f>SUM(N29:N40)</f>
        <v>41650</v>
      </c>
      <c r="O28" s="8">
        <f>SUM(O29:O40)</f>
        <v>33588.959000000003</v>
      </c>
      <c r="P28" s="8">
        <f>SUM(P29:P40)</f>
        <v>12905.73</v>
      </c>
      <c r="Q28" s="8"/>
      <c r="R28" s="8"/>
      <c r="S28" s="8"/>
      <c r="T28" s="8"/>
      <c r="U28" s="8"/>
      <c r="V28" s="8"/>
      <c r="W28" s="8"/>
    </row>
    <row r="29" spans="1:23" ht="93" customHeight="1">
      <c r="A29" s="263" t="s">
        <v>52</v>
      </c>
      <c r="B29" s="16" t="s">
        <v>507</v>
      </c>
      <c r="C29" s="294">
        <v>1</v>
      </c>
      <c r="D29" s="294">
        <v>1</v>
      </c>
      <c r="E29" s="294">
        <f t="shared" ref="E29:E40" si="1">I29+O29+P29+N29+M29+L29</f>
        <v>5689.9</v>
      </c>
      <c r="F29" s="262" t="s">
        <v>34</v>
      </c>
      <c r="G29" s="296">
        <v>2016</v>
      </c>
      <c r="H29" s="296">
        <v>2016</v>
      </c>
      <c r="I29" s="13"/>
      <c r="J29" s="296">
        <v>2020</v>
      </c>
      <c r="K29" s="296">
        <v>2020</v>
      </c>
      <c r="L29" s="294">
        <v>5689.9</v>
      </c>
      <c r="M29" s="13"/>
      <c r="N29" s="13"/>
      <c r="O29" s="13"/>
      <c r="P29" s="13"/>
      <c r="Q29" s="294">
        <v>2.8</v>
      </c>
      <c r="R29" s="25" t="s">
        <v>42</v>
      </c>
      <c r="S29" s="296" t="s">
        <v>53</v>
      </c>
      <c r="T29" s="296" t="s">
        <v>35</v>
      </c>
      <c r="U29" s="295" t="s">
        <v>54</v>
      </c>
      <c r="V29" s="296" t="s">
        <v>630</v>
      </c>
      <c r="W29" s="13"/>
    </row>
    <row r="30" spans="1:23" ht="249.75" customHeight="1">
      <c r="A30" s="263" t="s">
        <v>508</v>
      </c>
      <c r="B30" s="16" t="s">
        <v>509</v>
      </c>
      <c r="C30" s="294">
        <v>1</v>
      </c>
      <c r="D30" s="294">
        <v>1</v>
      </c>
      <c r="E30" s="294">
        <f t="shared" si="1"/>
        <v>14969.91</v>
      </c>
      <c r="F30" s="262" t="s">
        <v>34</v>
      </c>
      <c r="G30" s="296">
        <v>2016</v>
      </c>
      <c r="H30" s="296">
        <v>2016</v>
      </c>
      <c r="I30" s="13"/>
      <c r="J30" s="296">
        <v>2020</v>
      </c>
      <c r="K30" s="296">
        <v>2020</v>
      </c>
      <c r="L30" s="294">
        <v>14969.91</v>
      </c>
      <c r="M30" s="13"/>
      <c r="N30" s="13"/>
      <c r="O30" s="13"/>
      <c r="P30" s="13"/>
      <c r="Q30" s="13"/>
      <c r="R30" s="25" t="s">
        <v>42</v>
      </c>
      <c r="S30" s="296" t="s">
        <v>53</v>
      </c>
      <c r="T30" s="296" t="s">
        <v>510</v>
      </c>
      <c r="U30" s="25" t="s">
        <v>511</v>
      </c>
      <c r="V30" s="296" t="s">
        <v>596</v>
      </c>
      <c r="W30" s="13"/>
    </row>
    <row r="31" spans="1:23" ht="58.5" customHeight="1">
      <c r="A31" s="263" t="s">
        <v>55</v>
      </c>
      <c r="B31" s="26" t="s">
        <v>56</v>
      </c>
      <c r="C31" s="294">
        <v>1</v>
      </c>
      <c r="D31" s="294">
        <v>1</v>
      </c>
      <c r="E31" s="294">
        <f t="shared" si="1"/>
        <v>13370</v>
      </c>
      <c r="F31" s="262" t="s">
        <v>57</v>
      </c>
      <c r="G31" s="296">
        <v>2020</v>
      </c>
      <c r="H31" s="296">
        <v>2020</v>
      </c>
      <c r="I31" s="296">
        <v>464.27</v>
      </c>
      <c r="J31" s="296">
        <v>2024</v>
      </c>
      <c r="K31" s="296">
        <v>2024</v>
      </c>
      <c r="L31" s="13"/>
      <c r="M31" s="13"/>
      <c r="N31" s="13"/>
      <c r="O31" s="13"/>
      <c r="P31" s="294">
        <v>12905.73</v>
      </c>
      <c r="Q31" s="294">
        <v>4</v>
      </c>
      <c r="R31" s="25" t="s">
        <v>42</v>
      </c>
      <c r="S31" s="296" t="s">
        <v>58</v>
      </c>
      <c r="T31" s="296" t="s">
        <v>512</v>
      </c>
      <c r="U31" s="295" t="s">
        <v>59</v>
      </c>
      <c r="V31" s="296" t="s">
        <v>632</v>
      </c>
      <c r="W31" s="13"/>
    </row>
    <row r="32" spans="1:23" ht="89.25" customHeight="1">
      <c r="A32" s="263" t="s">
        <v>513</v>
      </c>
      <c r="B32" s="26" t="s">
        <v>514</v>
      </c>
      <c r="C32" s="294">
        <v>1</v>
      </c>
      <c r="D32" s="294">
        <v>1</v>
      </c>
      <c r="E32" s="294">
        <f t="shared" si="1"/>
        <v>33061.01</v>
      </c>
      <c r="F32" s="262" t="s">
        <v>34</v>
      </c>
      <c r="G32" s="296">
        <v>2018</v>
      </c>
      <c r="H32" s="296">
        <v>2018</v>
      </c>
      <c r="I32" s="13"/>
      <c r="J32" s="296">
        <v>2020</v>
      </c>
      <c r="K32" s="296">
        <v>2020</v>
      </c>
      <c r="L32" s="294">
        <v>33061.01</v>
      </c>
      <c r="M32" s="300"/>
      <c r="N32" s="13"/>
      <c r="O32" s="13"/>
      <c r="P32" s="13"/>
      <c r="Q32" s="13"/>
      <c r="R32" s="25" t="s">
        <v>42</v>
      </c>
      <c r="S32" s="296" t="s">
        <v>69</v>
      </c>
      <c r="T32" s="296" t="s">
        <v>515</v>
      </c>
      <c r="U32" s="295" t="s">
        <v>516</v>
      </c>
      <c r="V32" s="296" t="s">
        <v>643</v>
      </c>
      <c r="W32" s="13"/>
    </row>
    <row r="33" spans="1:23" ht="195">
      <c r="A33" s="263" t="s">
        <v>517</v>
      </c>
      <c r="B33" s="26" t="s">
        <v>518</v>
      </c>
      <c r="C33" s="294">
        <v>1</v>
      </c>
      <c r="D33" s="294">
        <v>1</v>
      </c>
      <c r="E33" s="294">
        <f t="shared" si="1"/>
        <v>23460.71</v>
      </c>
      <c r="F33" s="262" t="s">
        <v>34</v>
      </c>
      <c r="G33" s="296">
        <v>2018</v>
      </c>
      <c r="H33" s="296">
        <v>2018</v>
      </c>
      <c r="I33" s="13"/>
      <c r="J33" s="296">
        <v>2021</v>
      </c>
      <c r="K33" s="296">
        <v>2021</v>
      </c>
      <c r="L33" s="300"/>
      <c r="M33" s="301">
        <v>23460.71</v>
      </c>
      <c r="N33" s="13"/>
      <c r="O33" s="13"/>
      <c r="P33" s="13"/>
      <c r="Q33" s="13"/>
      <c r="R33" s="25" t="s">
        <v>483</v>
      </c>
      <c r="S33" s="296" t="s">
        <v>519</v>
      </c>
      <c r="T33" s="296" t="s">
        <v>520</v>
      </c>
      <c r="U33" s="295" t="s">
        <v>521</v>
      </c>
      <c r="V33" s="296" t="s">
        <v>644</v>
      </c>
      <c r="W33" s="13"/>
    </row>
    <row r="34" spans="1:23" ht="88.5" customHeight="1">
      <c r="A34" s="263" t="s">
        <v>60</v>
      </c>
      <c r="B34" s="26" t="s">
        <v>61</v>
      </c>
      <c r="C34" s="294">
        <v>1</v>
      </c>
      <c r="D34" s="294">
        <v>1</v>
      </c>
      <c r="E34" s="294">
        <f t="shared" si="1"/>
        <v>19167</v>
      </c>
      <c r="F34" s="13" t="s">
        <v>57</v>
      </c>
      <c r="G34" s="296">
        <v>2020</v>
      </c>
      <c r="H34" s="296">
        <v>2020</v>
      </c>
      <c r="I34" s="294">
        <v>345</v>
      </c>
      <c r="J34" s="296">
        <v>2022</v>
      </c>
      <c r="K34" s="296">
        <v>2022</v>
      </c>
      <c r="L34" s="13"/>
      <c r="M34" s="13"/>
      <c r="N34" s="301">
        <v>18822</v>
      </c>
      <c r="O34" s="13"/>
      <c r="P34" s="13"/>
      <c r="Q34" s="13"/>
      <c r="R34" s="25" t="s">
        <v>42</v>
      </c>
      <c r="S34" s="296" t="s">
        <v>62</v>
      </c>
      <c r="T34" s="296" t="s">
        <v>522</v>
      </c>
      <c r="U34" s="295" t="s">
        <v>63</v>
      </c>
      <c r="V34" s="296" t="s">
        <v>635</v>
      </c>
      <c r="W34" s="13"/>
    </row>
    <row r="35" spans="1:23" ht="168.75" customHeight="1">
      <c r="A35" s="263" t="s">
        <v>523</v>
      </c>
      <c r="B35" s="26" t="s">
        <v>524</v>
      </c>
      <c r="C35" s="294">
        <v>1</v>
      </c>
      <c r="D35" s="294">
        <v>1</v>
      </c>
      <c r="E35" s="294">
        <f t="shared" si="1"/>
        <v>16681.28</v>
      </c>
      <c r="F35" s="262" t="s">
        <v>34</v>
      </c>
      <c r="G35" s="296">
        <v>2018</v>
      </c>
      <c r="H35" s="296">
        <v>2018</v>
      </c>
      <c r="I35" s="294"/>
      <c r="J35" s="296">
        <v>2021</v>
      </c>
      <c r="K35" s="296">
        <v>2021</v>
      </c>
      <c r="L35" s="294"/>
      <c r="M35" s="294">
        <v>16681.28</v>
      </c>
      <c r="N35" s="13"/>
      <c r="O35" s="13"/>
      <c r="P35" s="13"/>
      <c r="Q35" s="13"/>
      <c r="R35" s="25" t="s">
        <v>42</v>
      </c>
      <c r="S35" s="296" t="s">
        <v>525</v>
      </c>
      <c r="T35" s="296" t="s">
        <v>526</v>
      </c>
      <c r="U35" s="295" t="s">
        <v>527</v>
      </c>
      <c r="V35" s="296" t="s">
        <v>645</v>
      </c>
      <c r="W35" s="13"/>
    </row>
    <row r="36" spans="1:23" ht="104.25" customHeight="1">
      <c r="A36" s="263" t="s">
        <v>528</v>
      </c>
      <c r="B36" s="26" t="s">
        <v>529</v>
      </c>
      <c r="C36" s="294">
        <v>1</v>
      </c>
      <c r="D36" s="294">
        <v>1</v>
      </c>
      <c r="E36" s="294">
        <f t="shared" si="1"/>
        <v>8019.2950000000001</v>
      </c>
      <c r="F36" s="262" t="s">
        <v>34</v>
      </c>
      <c r="G36" s="296">
        <v>2018</v>
      </c>
      <c r="H36" s="296">
        <v>2018</v>
      </c>
      <c r="I36" s="294"/>
      <c r="J36" s="296">
        <v>2020</v>
      </c>
      <c r="K36" s="296">
        <v>2020</v>
      </c>
      <c r="L36" s="302">
        <v>8019.2950000000001</v>
      </c>
      <c r="M36" s="294"/>
      <c r="N36" s="13"/>
      <c r="O36" s="13"/>
      <c r="P36" s="13"/>
      <c r="Q36" s="13"/>
      <c r="R36" s="25" t="s">
        <v>42</v>
      </c>
      <c r="S36" s="296" t="s">
        <v>525</v>
      </c>
      <c r="T36" s="296" t="s">
        <v>530</v>
      </c>
      <c r="U36" s="295" t="s">
        <v>531</v>
      </c>
      <c r="V36" s="296" t="s">
        <v>646</v>
      </c>
      <c r="W36" s="13"/>
    </row>
    <row r="37" spans="1:23" ht="60">
      <c r="A37" s="263" t="s">
        <v>532</v>
      </c>
      <c r="B37" s="26" t="s">
        <v>533</v>
      </c>
      <c r="C37" s="294">
        <v>1</v>
      </c>
      <c r="D37" s="294">
        <v>1</v>
      </c>
      <c r="E37" s="294">
        <f t="shared" si="1"/>
        <v>13583.789000000001</v>
      </c>
      <c r="F37" s="262" t="s">
        <v>34</v>
      </c>
      <c r="G37" s="296">
        <v>2018</v>
      </c>
      <c r="H37" s="296">
        <v>2018</v>
      </c>
      <c r="I37" s="294"/>
      <c r="J37" s="296">
        <v>2023</v>
      </c>
      <c r="K37" s="296">
        <v>2023</v>
      </c>
      <c r="L37" s="302"/>
      <c r="M37" s="13"/>
      <c r="N37" s="13"/>
      <c r="O37" s="302">
        <v>13583.789000000001</v>
      </c>
      <c r="P37" s="13"/>
      <c r="Q37" s="13">
        <v>9.6999999999999993</v>
      </c>
      <c r="R37" s="25" t="s">
        <v>42</v>
      </c>
      <c r="S37" s="296" t="s">
        <v>53</v>
      </c>
      <c r="T37" s="296" t="s">
        <v>534</v>
      </c>
      <c r="U37" s="295" t="s">
        <v>535</v>
      </c>
      <c r="V37" s="296" t="s">
        <v>642</v>
      </c>
      <c r="W37" s="13"/>
    </row>
    <row r="38" spans="1:23" ht="119.25" customHeight="1">
      <c r="A38" s="334" t="s">
        <v>588</v>
      </c>
      <c r="B38" s="26" t="s">
        <v>65</v>
      </c>
      <c r="C38" s="294">
        <v>1</v>
      </c>
      <c r="D38" s="294">
        <v>1</v>
      </c>
      <c r="E38" s="294">
        <f t="shared" si="1"/>
        <v>12431.9</v>
      </c>
      <c r="F38" s="296" t="s">
        <v>34</v>
      </c>
      <c r="G38" s="296">
        <v>2018</v>
      </c>
      <c r="H38" s="296">
        <v>2018</v>
      </c>
      <c r="I38" s="294"/>
      <c r="J38" s="296">
        <v>2020</v>
      </c>
      <c r="K38" s="296">
        <v>2020</v>
      </c>
      <c r="L38" s="294">
        <v>12431.9</v>
      </c>
      <c r="M38" s="13"/>
      <c r="N38" s="13"/>
      <c r="O38" s="13"/>
      <c r="P38" s="13"/>
      <c r="Q38" s="13"/>
      <c r="R38" s="25" t="s">
        <v>42</v>
      </c>
      <c r="S38" s="296" t="s">
        <v>66</v>
      </c>
      <c r="T38" s="296" t="s">
        <v>536</v>
      </c>
      <c r="U38" s="295" t="s">
        <v>537</v>
      </c>
      <c r="V38" s="296" t="s">
        <v>636</v>
      </c>
      <c r="W38" s="13"/>
    </row>
    <row r="39" spans="1:23" ht="257.25" customHeight="1">
      <c r="A39" s="263" t="s">
        <v>64</v>
      </c>
      <c r="B39" s="26" t="s">
        <v>68</v>
      </c>
      <c r="C39" s="294">
        <v>1</v>
      </c>
      <c r="D39" s="294">
        <v>1</v>
      </c>
      <c r="E39" s="294">
        <f t="shared" si="1"/>
        <v>23173</v>
      </c>
      <c r="F39" s="296" t="s">
        <v>57</v>
      </c>
      <c r="G39" s="296">
        <v>2020</v>
      </c>
      <c r="H39" s="296">
        <v>2020</v>
      </c>
      <c r="I39" s="294">
        <v>345</v>
      </c>
      <c r="J39" s="296">
        <v>2022</v>
      </c>
      <c r="K39" s="296">
        <v>2022</v>
      </c>
      <c r="L39" s="13"/>
      <c r="M39" s="13"/>
      <c r="N39" s="294">
        <v>22828</v>
      </c>
      <c r="O39" s="294"/>
      <c r="P39" s="13"/>
      <c r="Q39" s="13"/>
      <c r="R39" s="25" t="s">
        <v>42</v>
      </c>
      <c r="S39" s="296" t="s">
        <v>69</v>
      </c>
      <c r="T39" s="296" t="s">
        <v>538</v>
      </c>
      <c r="U39" s="295" t="s">
        <v>70</v>
      </c>
      <c r="V39" s="296" t="s">
        <v>637</v>
      </c>
      <c r="W39" s="13"/>
    </row>
    <row r="40" spans="1:23" ht="195">
      <c r="A40" s="263" t="s">
        <v>67</v>
      </c>
      <c r="B40" s="26" t="s">
        <v>71</v>
      </c>
      <c r="C40" s="294">
        <v>1</v>
      </c>
      <c r="D40" s="294">
        <v>1</v>
      </c>
      <c r="E40" s="294">
        <f t="shared" si="1"/>
        <v>20350.169999999998</v>
      </c>
      <c r="F40" s="296" t="s">
        <v>57</v>
      </c>
      <c r="G40" s="296">
        <v>2020</v>
      </c>
      <c r="H40" s="296">
        <v>2020</v>
      </c>
      <c r="I40" s="294">
        <v>345</v>
      </c>
      <c r="J40" s="296">
        <v>2023</v>
      </c>
      <c r="K40" s="296">
        <v>2023</v>
      </c>
      <c r="L40" s="13"/>
      <c r="M40" s="13"/>
      <c r="N40" s="294"/>
      <c r="O40" s="294">
        <v>20005.169999999998</v>
      </c>
      <c r="P40" s="13"/>
      <c r="Q40" s="13"/>
      <c r="R40" s="25" t="s">
        <v>42</v>
      </c>
      <c r="S40" s="296" t="s">
        <v>69</v>
      </c>
      <c r="T40" s="296" t="s">
        <v>539</v>
      </c>
      <c r="U40" s="295" t="s">
        <v>540</v>
      </c>
      <c r="V40" s="296" t="s">
        <v>638</v>
      </c>
      <c r="W40" s="13"/>
    </row>
    <row r="41" spans="1:23" s="10" customFormat="1">
      <c r="A41" s="6" t="s">
        <v>72</v>
      </c>
      <c r="B41" s="8" t="s">
        <v>31</v>
      </c>
      <c r="C41" s="8"/>
      <c r="D41" s="8"/>
      <c r="E41" s="9">
        <f>E42</f>
        <v>600</v>
      </c>
      <c r="F41" s="8"/>
      <c r="G41" s="8"/>
      <c r="H41" s="8"/>
      <c r="I41" s="9">
        <f>I42</f>
        <v>600</v>
      </c>
      <c r="J41" s="8"/>
      <c r="K41" s="8"/>
      <c r="L41" s="8"/>
      <c r="M41" s="8"/>
      <c r="N41" s="8"/>
      <c r="O41" s="8"/>
      <c r="P41" s="8"/>
      <c r="Q41" s="8"/>
      <c r="R41" s="8"/>
      <c r="S41" s="8"/>
      <c r="T41" s="8"/>
      <c r="U41" s="8"/>
      <c r="V41" s="8"/>
      <c r="W41" s="8"/>
    </row>
    <row r="42" spans="1:23" ht="60">
      <c r="A42" s="263" t="s">
        <v>73</v>
      </c>
      <c r="B42" s="26" t="s">
        <v>541</v>
      </c>
      <c r="C42" s="13">
        <v>1.65</v>
      </c>
      <c r="D42" s="13">
        <v>1.65</v>
      </c>
      <c r="E42" s="294">
        <f>I42+O42+P42+N42+M42+L42</f>
        <v>600</v>
      </c>
      <c r="F42" s="13" t="s">
        <v>57</v>
      </c>
      <c r="G42" s="13">
        <v>2022</v>
      </c>
      <c r="H42" s="13">
        <v>2022</v>
      </c>
      <c r="I42" s="303">
        <v>600</v>
      </c>
      <c r="J42" s="13"/>
      <c r="K42" s="13"/>
      <c r="L42" s="13"/>
      <c r="M42" s="13"/>
      <c r="N42" s="13"/>
      <c r="O42" s="13"/>
      <c r="P42" s="13"/>
      <c r="Q42" s="13"/>
      <c r="R42" s="25" t="s">
        <v>42</v>
      </c>
      <c r="S42" s="296" t="s">
        <v>46</v>
      </c>
      <c r="T42" s="25" t="s">
        <v>653</v>
      </c>
      <c r="U42" s="295" t="s">
        <v>652</v>
      </c>
      <c r="V42" s="13" t="s">
        <v>651</v>
      </c>
      <c r="W42" s="13"/>
    </row>
    <row r="43" spans="1:23">
      <c r="A43" s="263" t="s">
        <v>75</v>
      </c>
      <c r="B43" s="259"/>
      <c r="C43" s="13"/>
      <c r="D43" s="13"/>
      <c r="E43" s="13"/>
      <c r="F43" s="13"/>
      <c r="G43" s="13"/>
      <c r="H43" s="13"/>
      <c r="I43" s="13"/>
      <c r="J43" s="13"/>
      <c r="K43" s="13"/>
      <c r="L43" s="13"/>
      <c r="M43" s="13"/>
      <c r="N43" s="13"/>
      <c r="O43" s="13"/>
      <c r="P43" s="13"/>
      <c r="Q43" s="13"/>
      <c r="R43" s="13"/>
      <c r="S43" s="13"/>
      <c r="T43" s="13"/>
      <c r="U43" s="13"/>
      <c r="V43" s="13"/>
      <c r="W43" s="13"/>
    </row>
    <row r="44" spans="1:23" s="10" customFormat="1">
      <c r="A44" s="6" t="s">
        <v>76</v>
      </c>
      <c r="B44" s="8" t="s">
        <v>33</v>
      </c>
      <c r="C44" s="8"/>
      <c r="D44" s="8">
        <f>SUM(D45:D50)</f>
        <v>132.6</v>
      </c>
      <c r="E44" s="8">
        <f>SUM(E45:E50)</f>
        <v>401114.24999999994</v>
      </c>
      <c r="F44" s="8"/>
      <c r="G44" s="8"/>
      <c r="H44" s="8"/>
      <c r="I44" s="8">
        <f>SUM(I45:I50)</f>
        <v>1817</v>
      </c>
      <c r="J44" s="8"/>
      <c r="K44" s="8"/>
      <c r="L44" s="8">
        <f>SUM(L45:L50)</f>
        <v>55361.5</v>
      </c>
      <c r="M44" s="8">
        <f>SUM(M45:M50)</f>
        <v>53112.450000000004</v>
      </c>
      <c r="N44" s="8">
        <f>SUM(N45:N50)</f>
        <v>71178.3</v>
      </c>
      <c r="O44" s="8">
        <f>SUM(O45:O50)</f>
        <v>109061.65999999999</v>
      </c>
      <c r="P44" s="8">
        <f>SUM(P45:P50)</f>
        <v>110583.34</v>
      </c>
      <c r="Q44" s="8"/>
      <c r="R44" s="8"/>
      <c r="S44" s="8"/>
      <c r="T44" s="8"/>
      <c r="U44" s="8"/>
      <c r="V44" s="8"/>
      <c r="W44" s="8"/>
    </row>
    <row r="45" spans="1:23" ht="93" customHeight="1">
      <c r="A45" s="263" t="s">
        <v>542</v>
      </c>
      <c r="B45" s="300" t="s">
        <v>543</v>
      </c>
      <c r="C45" s="262">
        <v>17.2</v>
      </c>
      <c r="D45" s="262">
        <v>17.2</v>
      </c>
      <c r="E45" s="294">
        <f t="shared" ref="E45:E50" si="2">I45+O45+P45+N45+M45+L45</f>
        <v>19005.759999999998</v>
      </c>
      <c r="F45" s="262" t="s">
        <v>57</v>
      </c>
      <c r="G45" s="294">
        <v>2020</v>
      </c>
      <c r="H45" s="294">
        <v>2020</v>
      </c>
      <c r="I45" s="294">
        <v>667</v>
      </c>
      <c r="J45" s="294">
        <v>2022</v>
      </c>
      <c r="K45" s="294">
        <v>2023</v>
      </c>
      <c r="L45" s="263"/>
      <c r="M45" s="294"/>
      <c r="N45" s="294"/>
      <c r="O45" s="294">
        <v>18338.759999999998</v>
      </c>
      <c r="P45" s="300"/>
      <c r="Q45" s="13"/>
      <c r="R45" s="295" t="s">
        <v>450</v>
      </c>
      <c r="S45" s="296" t="s">
        <v>46</v>
      </c>
      <c r="T45" s="296" t="s">
        <v>544</v>
      </c>
      <c r="U45" s="295" t="s">
        <v>545</v>
      </c>
      <c r="V45" s="296" t="s">
        <v>649</v>
      </c>
      <c r="W45" s="13"/>
    </row>
    <row r="46" spans="1:23" ht="270">
      <c r="A46" s="263" t="s">
        <v>546</v>
      </c>
      <c r="B46" s="300" t="s">
        <v>547</v>
      </c>
      <c r="C46" s="262">
        <v>19.600000000000001</v>
      </c>
      <c r="D46" s="262">
        <v>19.600000000000001</v>
      </c>
      <c r="E46" s="294">
        <f t="shared" si="2"/>
        <v>24078.65</v>
      </c>
      <c r="F46" s="262" t="s">
        <v>57</v>
      </c>
      <c r="G46" s="294">
        <v>2019</v>
      </c>
      <c r="H46" s="294">
        <v>2019</v>
      </c>
      <c r="I46" s="13"/>
      <c r="J46" s="294">
        <v>2020</v>
      </c>
      <c r="K46" s="294">
        <v>2021</v>
      </c>
      <c r="L46" s="294"/>
      <c r="M46" s="294">
        <v>24078.65</v>
      </c>
      <c r="N46" s="294"/>
      <c r="O46" s="294"/>
      <c r="P46" s="301"/>
      <c r="Q46" s="13"/>
      <c r="R46" s="295" t="s">
        <v>450</v>
      </c>
      <c r="S46" s="296" t="s">
        <v>46</v>
      </c>
      <c r="T46" s="296" t="s">
        <v>548</v>
      </c>
      <c r="U46" s="295" t="s">
        <v>549</v>
      </c>
      <c r="V46" s="296" t="s">
        <v>648</v>
      </c>
      <c r="W46" s="13"/>
    </row>
    <row r="47" spans="1:23" ht="88.5" customHeight="1">
      <c r="A47" s="263" t="s">
        <v>550</v>
      </c>
      <c r="B47" s="300" t="s">
        <v>551</v>
      </c>
      <c r="C47" s="262" t="s">
        <v>552</v>
      </c>
      <c r="D47" s="262">
        <v>9.6</v>
      </c>
      <c r="E47" s="294">
        <f t="shared" si="2"/>
        <v>7441.54</v>
      </c>
      <c r="F47" s="262" t="s">
        <v>57</v>
      </c>
      <c r="G47" s="294">
        <v>2021</v>
      </c>
      <c r="H47" s="294">
        <v>2021</v>
      </c>
      <c r="I47" s="294">
        <v>550</v>
      </c>
      <c r="J47" s="294">
        <v>2024</v>
      </c>
      <c r="K47" s="294">
        <v>2024</v>
      </c>
      <c r="L47" s="294"/>
      <c r="M47" s="263"/>
      <c r="N47" s="294"/>
      <c r="O47" s="304"/>
      <c r="P47" s="294">
        <v>6891.54</v>
      </c>
      <c r="Q47" s="295"/>
      <c r="R47" s="295" t="s">
        <v>42</v>
      </c>
      <c r="S47" s="296" t="s">
        <v>46</v>
      </c>
      <c r="T47" s="296" t="s">
        <v>553</v>
      </c>
      <c r="U47" s="295" t="s">
        <v>554</v>
      </c>
      <c r="V47" s="296" t="s">
        <v>650</v>
      </c>
      <c r="W47" s="13"/>
    </row>
    <row r="48" spans="1:23" ht="90" customHeight="1">
      <c r="A48" s="263" t="s">
        <v>555</v>
      </c>
      <c r="B48" s="300" t="s">
        <v>556</v>
      </c>
      <c r="C48" s="262">
        <v>2.2000000000000002</v>
      </c>
      <c r="D48" s="262">
        <v>2.2000000000000002</v>
      </c>
      <c r="E48" s="294">
        <f t="shared" si="2"/>
        <v>2496.6</v>
      </c>
      <c r="F48" s="262" t="s">
        <v>57</v>
      </c>
      <c r="G48" s="294">
        <v>2022</v>
      </c>
      <c r="H48" s="294">
        <v>2022</v>
      </c>
      <c r="I48" s="294">
        <v>600</v>
      </c>
      <c r="J48" s="294">
        <v>2024</v>
      </c>
      <c r="K48" s="294">
        <v>2024</v>
      </c>
      <c r="L48" s="294"/>
      <c r="M48" s="304"/>
      <c r="N48" s="263"/>
      <c r="O48" s="294"/>
      <c r="P48" s="294">
        <v>1896.6</v>
      </c>
      <c r="Q48" s="13"/>
      <c r="R48" s="295" t="s">
        <v>557</v>
      </c>
      <c r="S48" s="296" t="s">
        <v>46</v>
      </c>
      <c r="T48" s="296" t="s">
        <v>558</v>
      </c>
      <c r="U48" s="295" t="s">
        <v>559</v>
      </c>
      <c r="V48" s="296" t="s">
        <v>597</v>
      </c>
      <c r="W48" s="13"/>
    </row>
    <row r="49" spans="1:23" ht="120">
      <c r="A49" s="263" t="s">
        <v>560</v>
      </c>
      <c r="B49" s="298" t="s">
        <v>561</v>
      </c>
      <c r="C49" s="262">
        <v>4</v>
      </c>
      <c r="D49" s="262">
        <v>4</v>
      </c>
      <c r="E49" s="294">
        <f t="shared" si="2"/>
        <v>5200</v>
      </c>
      <c r="F49" s="262" t="s">
        <v>34</v>
      </c>
      <c r="G49" s="262">
        <v>2018</v>
      </c>
      <c r="H49" s="262">
        <v>2018</v>
      </c>
      <c r="I49" s="13"/>
      <c r="J49" s="262">
        <v>2021</v>
      </c>
      <c r="K49" s="262">
        <v>2022</v>
      </c>
      <c r="L49" s="13"/>
      <c r="M49" s="294">
        <v>2600</v>
      </c>
      <c r="N49" s="294">
        <v>2600</v>
      </c>
      <c r="O49" s="13"/>
      <c r="P49" s="13"/>
      <c r="Q49" s="13"/>
      <c r="R49" s="295" t="s">
        <v>450</v>
      </c>
      <c r="S49" s="296" t="s">
        <v>58</v>
      </c>
      <c r="T49" s="305" t="s">
        <v>562</v>
      </c>
      <c r="U49" s="295" t="s">
        <v>563</v>
      </c>
      <c r="V49" s="296" t="s">
        <v>598</v>
      </c>
      <c r="W49" s="13"/>
    </row>
    <row r="50" spans="1:23" ht="120">
      <c r="A50" s="263" t="s">
        <v>564</v>
      </c>
      <c r="B50" s="298" t="s">
        <v>565</v>
      </c>
      <c r="C50" s="262">
        <v>80</v>
      </c>
      <c r="D50" s="262">
        <v>80</v>
      </c>
      <c r="E50" s="294">
        <f t="shared" si="2"/>
        <v>342891.69999999995</v>
      </c>
      <c r="F50" s="262" t="s">
        <v>34</v>
      </c>
      <c r="G50" s="262">
        <v>2018</v>
      </c>
      <c r="H50" s="262">
        <v>2018</v>
      </c>
      <c r="I50" s="13"/>
      <c r="J50" s="262">
        <v>2020</v>
      </c>
      <c r="K50" s="262">
        <v>2024</v>
      </c>
      <c r="L50" s="297">
        <v>55361.5</v>
      </c>
      <c r="M50" s="297">
        <f>66433.8-40000</f>
        <v>26433.800000000003</v>
      </c>
      <c r="N50" s="297">
        <f>88578.3-20000</f>
        <v>68578.3</v>
      </c>
      <c r="O50" s="297">
        <f>110722.9-20000</f>
        <v>90722.9</v>
      </c>
      <c r="P50" s="297">
        <f>121795.2-20000</f>
        <v>101795.2</v>
      </c>
      <c r="Q50" s="13"/>
      <c r="R50" s="295" t="s">
        <v>450</v>
      </c>
      <c r="S50" s="296" t="s">
        <v>58</v>
      </c>
      <c r="T50" s="305" t="s">
        <v>562</v>
      </c>
      <c r="U50" s="295" t="s">
        <v>563</v>
      </c>
      <c r="V50" s="296" t="s">
        <v>598</v>
      </c>
      <c r="W50" s="13"/>
    </row>
    <row r="51" spans="1:23">
      <c r="A51" s="260"/>
      <c r="B51" s="443" t="s">
        <v>77</v>
      </c>
      <c r="C51" s="443"/>
      <c r="D51" s="443"/>
      <c r="E51" s="19">
        <f>E44+E41+E28+E19</f>
        <v>1026071.1739999999</v>
      </c>
      <c r="F51" s="19"/>
      <c r="G51" s="19"/>
      <c r="H51" s="19"/>
      <c r="I51" s="19">
        <f>I44+I41+I28+I19</f>
        <v>5077.2700000000004</v>
      </c>
      <c r="J51" s="19"/>
      <c r="K51" s="19"/>
      <c r="L51" s="19">
        <f>L44+L41+L28+L19</f>
        <v>145665.88500000001</v>
      </c>
      <c r="M51" s="19">
        <f>M44+M41+M28+M19</f>
        <v>192575.16999999998</v>
      </c>
      <c r="N51" s="19">
        <f>N44+N41+N28+N19</f>
        <v>181030.16</v>
      </c>
      <c r="O51" s="19">
        <f>O44+O41+O28+O19</f>
        <v>311597.61900000001</v>
      </c>
      <c r="P51" s="19">
        <f>P44+P41+P28+P19</f>
        <v>190125.07</v>
      </c>
      <c r="Q51" s="19"/>
      <c r="R51" s="19"/>
      <c r="S51" s="306"/>
      <c r="T51" s="306"/>
      <c r="U51" s="19"/>
      <c r="V51" s="19"/>
      <c r="W51" s="19"/>
    </row>
    <row r="52" spans="1:23">
      <c r="A52" s="260"/>
      <c r="B52" s="443" t="s">
        <v>78</v>
      </c>
      <c r="C52" s="443"/>
      <c r="D52" s="443"/>
      <c r="E52" s="19">
        <f>E51+E17</f>
        <v>1550476.3839999998</v>
      </c>
      <c r="F52" s="19"/>
      <c r="G52" s="19"/>
      <c r="H52" s="19"/>
      <c r="I52" s="19">
        <f>I51+I17</f>
        <v>7177.27</v>
      </c>
      <c r="J52" s="19"/>
      <c r="K52" s="19"/>
      <c r="L52" s="19">
        <f>L51+L17</f>
        <v>214525.26500000001</v>
      </c>
      <c r="M52" s="19">
        <f>M51+M17</f>
        <v>237140.96999999997</v>
      </c>
      <c r="N52" s="19">
        <f>N51+N17</f>
        <v>255458.59</v>
      </c>
      <c r="O52" s="19">
        <f>O51+O17</f>
        <v>323823.41899999999</v>
      </c>
      <c r="P52" s="19">
        <f>P51+P17</f>
        <v>512350.87</v>
      </c>
      <c r="Q52" s="19"/>
      <c r="R52" s="19"/>
      <c r="S52" s="19"/>
      <c r="T52" s="19"/>
      <c r="U52" s="19"/>
      <c r="V52" s="19"/>
      <c r="W52" s="19"/>
    </row>
    <row r="53" spans="1:23" s="5" customFormat="1">
      <c r="A53" s="3" t="s">
        <v>79</v>
      </c>
      <c r="B53" s="29" t="s">
        <v>80</v>
      </c>
      <c r="C53" s="29"/>
      <c r="D53" s="29"/>
      <c r="E53" s="29"/>
      <c r="F53" s="29"/>
      <c r="G53" s="29"/>
      <c r="H53" s="29"/>
      <c r="I53" s="29"/>
      <c r="J53" s="29"/>
      <c r="K53" s="29"/>
      <c r="L53" s="29"/>
      <c r="M53" s="29"/>
      <c r="N53" s="29"/>
      <c r="O53" s="29"/>
      <c r="P53" s="29"/>
      <c r="Q53" s="29"/>
      <c r="R53" s="29"/>
      <c r="S53" s="29"/>
      <c r="T53" s="30"/>
      <c r="U53" s="29"/>
      <c r="V53" s="30"/>
      <c r="W53" s="29"/>
    </row>
    <row r="54" spans="1:23" ht="15" customHeight="1">
      <c r="A54" s="263" t="s">
        <v>81</v>
      </c>
      <c r="B54" s="410" t="s">
        <v>82</v>
      </c>
      <c r="C54" s="410"/>
      <c r="D54" s="410"/>
      <c r="E54" s="294">
        <f t="shared" ref="E54:E67" si="3">I54+O54+P54+N54+M54+L54</f>
        <v>0</v>
      </c>
      <c r="F54" s="261"/>
      <c r="G54" s="261"/>
      <c r="H54" s="261"/>
      <c r="I54" s="261"/>
      <c r="J54" s="261"/>
      <c r="K54" s="261"/>
      <c r="L54" s="261"/>
      <c r="M54" s="261"/>
      <c r="N54" s="261"/>
      <c r="O54" s="261"/>
      <c r="P54" s="261"/>
      <c r="Q54" s="261"/>
      <c r="R54" s="437" t="s">
        <v>566</v>
      </c>
      <c r="S54" s="428" t="s">
        <v>46</v>
      </c>
      <c r="T54" s="431" t="s">
        <v>567</v>
      </c>
      <c r="U54" s="259"/>
      <c r="V54" s="434" t="s">
        <v>599</v>
      </c>
      <c r="W54" s="260"/>
    </row>
    <row r="55" spans="1:23">
      <c r="A55" s="263" t="s">
        <v>86</v>
      </c>
      <c r="B55" s="307" t="s">
        <v>87</v>
      </c>
      <c r="C55" s="26">
        <v>0.43</v>
      </c>
      <c r="D55" s="26">
        <v>0.43</v>
      </c>
      <c r="E55" s="294">
        <f t="shared" si="3"/>
        <v>245.5</v>
      </c>
      <c r="F55" s="32" t="s">
        <v>57</v>
      </c>
      <c r="G55" s="33">
        <v>2020</v>
      </c>
      <c r="H55" s="33">
        <v>2020</v>
      </c>
      <c r="I55" s="32">
        <v>52</v>
      </c>
      <c r="J55" s="33">
        <v>2021</v>
      </c>
      <c r="K55" s="33">
        <v>2021</v>
      </c>
      <c r="L55" s="32"/>
      <c r="M55" s="308">
        <v>193.5</v>
      </c>
      <c r="N55" s="32"/>
      <c r="O55" s="32"/>
      <c r="P55" s="32"/>
      <c r="Q55" s="261"/>
      <c r="R55" s="438"/>
      <c r="S55" s="429"/>
      <c r="T55" s="432"/>
      <c r="U55" s="34" t="s">
        <v>88</v>
      </c>
      <c r="V55" s="435"/>
      <c r="W55" s="260"/>
    </row>
    <row r="56" spans="1:23">
      <c r="A56" s="263" t="s">
        <v>89</v>
      </c>
      <c r="B56" s="307" t="s">
        <v>90</v>
      </c>
      <c r="C56" s="26">
        <v>0.05</v>
      </c>
      <c r="D56" s="26">
        <v>0.05</v>
      </c>
      <c r="E56" s="294">
        <f t="shared" si="3"/>
        <v>85</v>
      </c>
      <c r="F56" s="32" t="s">
        <v>57</v>
      </c>
      <c r="G56" s="33">
        <v>2023</v>
      </c>
      <c r="H56" s="33">
        <v>2023</v>
      </c>
      <c r="I56" s="308">
        <v>10</v>
      </c>
      <c r="J56" s="33">
        <v>2024</v>
      </c>
      <c r="K56" s="33">
        <v>2024</v>
      </c>
      <c r="L56" s="32"/>
      <c r="M56" s="32"/>
      <c r="N56" s="32"/>
      <c r="O56" s="32"/>
      <c r="P56" s="308">
        <v>75</v>
      </c>
      <c r="Q56" s="261"/>
      <c r="R56" s="438"/>
      <c r="S56" s="429"/>
      <c r="T56" s="432"/>
      <c r="U56" s="34" t="s">
        <v>91</v>
      </c>
      <c r="V56" s="435"/>
      <c r="W56" s="260"/>
    </row>
    <row r="57" spans="1:23">
      <c r="A57" s="263" t="s">
        <v>92</v>
      </c>
      <c r="B57" s="410" t="s">
        <v>93</v>
      </c>
      <c r="C57" s="410"/>
      <c r="D57" s="410"/>
      <c r="E57" s="294">
        <f t="shared" si="3"/>
        <v>0</v>
      </c>
      <c r="F57" s="261"/>
      <c r="G57" s="35"/>
      <c r="H57" s="33"/>
      <c r="I57" s="32"/>
      <c r="J57" s="32"/>
      <c r="K57" s="32"/>
      <c r="L57" s="32"/>
      <c r="M57" s="32"/>
      <c r="N57" s="32"/>
      <c r="O57" s="32"/>
      <c r="P57" s="32"/>
      <c r="Q57" s="261"/>
      <c r="R57" s="438"/>
      <c r="S57" s="429"/>
      <c r="T57" s="432"/>
      <c r="U57" s="259"/>
      <c r="V57" s="435"/>
      <c r="W57" s="260"/>
    </row>
    <row r="58" spans="1:23" ht="31.5">
      <c r="A58" s="263" t="s">
        <v>94</v>
      </c>
      <c r="B58" s="307" t="s">
        <v>95</v>
      </c>
      <c r="C58" s="26">
        <v>4</v>
      </c>
      <c r="D58" s="26">
        <v>4</v>
      </c>
      <c r="E58" s="294">
        <f t="shared" si="3"/>
        <v>3056</v>
      </c>
      <c r="F58" s="32" t="s">
        <v>57</v>
      </c>
      <c r="G58" s="36">
        <v>2020</v>
      </c>
      <c r="H58" s="36">
        <v>2022</v>
      </c>
      <c r="I58" s="32">
        <v>76</v>
      </c>
      <c r="J58" s="33">
        <v>2021</v>
      </c>
      <c r="K58" s="33">
        <v>2023</v>
      </c>
      <c r="L58" s="32"/>
      <c r="M58" s="32">
        <v>820</v>
      </c>
      <c r="N58" s="32">
        <v>1460</v>
      </c>
      <c r="O58" s="32">
        <v>700</v>
      </c>
      <c r="P58" s="32"/>
      <c r="Q58" s="261"/>
      <c r="R58" s="438"/>
      <c r="S58" s="429"/>
      <c r="T58" s="432"/>
      <c r="U58" s="309" t="s">
        <v>96</v>
      </c>
      <c r="V58" s="435"/>
      <c r="W58" s="260"/>
    </row>
    <row r="59" spans="1:23" ht="15.75">
      <c r="A59" s="263" t="s">
        <v>568</v>
      </c>
      <c r="B59" s="307" t="s">
        <v>90</v>
      </c>
      <c r="C59" s="26">
        <v>0.18</v>
      </c>
      <c r="D59" s="26">
        <v>0.18</v>
      </c>
      <c r="E59" s="310">
        <f t="shared" si="3"/>
        <v>108</v>
      </c>
      <c r="F59" s="32" t="s">
        <v>57</v>
      </c>
      <c r="G59" s="33">
        <v>2022</v>
      </c>
      <c r="H59" s="33">
        <v>2022</v>
      </c>
      <c r="I59" s="308">
        <v>7.2</v>
      </c>
      <c r="J59" s="33">
        <v>2023</v>
      </c>
      <c r="K59" s="33">
        <v>2023</v>
      </c>
      <c r="L59" s="32"/>
      <c r="M59" s="32"/>
      <c r="N59" s="32"/>
      <c r="O59" s="308">
        <v>100.8</v>
      </c>
      <c r="P59" s="32"/>
      <c r="Q59" s="261"/>
      <c r="R59" s="438"/>
      <c r="S59" s="429"/>
      <c r="T59" s="432"/>
      <c r="U59" s="309" t="s">
        <v>569</v>
      </c>
      <c r="V59" s="435"/>
      <c r="W59" s="260"/>
    </row>
    <row r="60" spans="1:23" s="40" customFormat="1">
      <c r="A60" s="263" t="s">
        <v>97</v>
      </c>
      <c r="B60" s="311" t="s">
        <v>98</v>
      </c>
      <c r="C60" s="259"/>
      <c r="D60" s="259"/>
      <c r="E60" s="312">
        <f t="shared" si="3"/>
        <v>0</v>
      </c>
      <c r="F60" s="261"/>
      <c r="G60" s="35"/>
      <c r="H60" s="33"/>
      <c r="I60" s="32"/>
      <c r="J60" s="32"/>
      <c r="K60" s="32"/>
      <c r="L60" s="32"/>
      <c r="M60" s="32"/>
      <c r="N60" s="32"/>
      <c r="O60" s="32"/>
      <c r="P60" s="32"/>
      <c r="Q60" s="261"/>
      <c r="R60" s="438"/>
      <c r="S60" s="429"/>
      <c r="T60" s="432"/>
      <c r="U60" s="259"/>
      <c r="V60" s="435"/>
      <c r="W60" s="260"/>
    </row>
    <row r="61" spans="1:23" ht="31.5">
      <c r="A61" s="263" t="s">
        <v>99</v>
      </c>
      <c r="B61" s="307" t="s">
        <v>95</v>
      </c>
      <c r="C61" s="26">
        <v>1</v>
      </c>
      <c r="D61" s="26">
        <v>1</v>
      </c>
      <c r="E61" s="294">
        <f t="shared" si="3"/>
        <v>606</v>
      </c>
      <c r="F61" s="32" t="s">
        <v>57</v>
      </c>
      <c r="G61" s="33">
        <v>2020</v>
      </c>
      <c r="H61" s="33">
        <v>2020</v>
      </c>
      <c r="I61" s="32">
        <v>56</v>
      </c>
      <c r="J61" s="33">
        <v>2021</v>
      </c>
      <c r="K61" s="33">
        <v>2021</v>
      </c>
      <c r="L61" s="32"/>
      <c r="M61" s="32">
        <v>550</v>
      </c>
      <c r="N61" s="32"/>
      <c r="O61" s="32"/>
      <c r="P61" s="32"/>
      <c r="Q61" s="261"/>
      <c r="R61" s="438"/>
      <c r="S61" s="429"/>
      <c r="T61" s="432"/>
      <c r="U61" s="313" t="s">
        <v>100</v>
      </c>
      <c r="V61" s="435"/>
      <c r="W61" s="260"/>
    </row>
    <row r="62" spans="1:23" ht="15.75">
      <c r="A62" s="263" t="s">
        <v>101</v>
      </c>
      <c r="B62" s="307" t="s">
        <v>102</v>
      </c>
      <c r="C62" s="26">
        <v>16.8</v>
      </c>
      <c r="D62" s="26">
        <v>16.8</v>
      </c>
      <c r="E62" s="294">
        <f t="shared" si="3"/>
        <v>50183.42</v>
      </c>
      <c r="F62" s="32" t="s">
        <v>57</v>
      </c>
      <c r="G62" s="33">
        <v>2020</v>
      </c>
      <c r="H62" s="33">
        <v>2023</v>
      </c>
      <c r="I62" s="42">
        <v>1513.42</v>
      </c>
      <c r="J62" s="33">
        <v>2021</v>
      </c>
      <c r="K62" s="33">
        <v>2024</v>
      </c>
      <c r="L62" s="32"/>
      <c r="M62" s="32">
        <v>2480</v>
      </c>
      <c r="N62" s="32">
        <v>17360</v>
      </c>
      <c r="O62" s="32">
        <v>25420</v>
      </c>
      <c r="P62" s="32">
        <v>3410</v>
      </c>
      <c r="Q62" s="261"/>
      <c r="R62" s="438"/>
      <c r="S62" s="429"/>
      <c r="T62" s="432"/>
      <c r="U62" s="309" t="s">
        <v>103</v>
      </c>
      <c r="V62" s="435"/>
      <c r="W62" s="260"/>
    </row>
    <row r="63" spans="1:23" s="40" customFormat="1">
      <c r="A63" s="263" t="s">
        <v>104</v>
      </c>
      <c r="B63" s="311" t="s">
        <v>105</v>
      </c>
      <c r="C63" s="259"/>
      <c r="D63" s="259"/>
      <c r="E63" s="312">
        <f t="shared" si="3"/>
        <v>0</v>
      </c>
      <c r="F63" s="261"/>
      <c r="G63" s="35"/>
      <c r="H63" s="33"/>
      <c r="I63" s="32"/>
      <c r="J63" s="32"/>
      <c r="K63" s="32"/>
      <c r="L63" s="32"/>
      <c r="M63" s="32"/>
      <c r="N63" s="32"/>
      <c r="O63" s="32"/>
      <c r="P63" s="32"/>
      <c r="Q63" s="261"/>
      <c r="R63" s="438"/>
      <c r="S63" s="429"/>
      <c r="T63" s="432"/>
      <c r="U63" s="259"/>
      <c r="V63" s="435"/>
      <c r="W63" s="260"/>
    </row>
    <row r="64" spans="1:23" ht="31.5">
      <c r="A64" s="263" t="s">
        <v>106</v>
      </c>
      <c r="B64" s="307" t="s">
        <v>95</v>
      </c>
      <c r="C64" s="26">
        <v>3</v>
      </c>
      <c r="D64" s="26">
        <v>3</v>
      </c>
      <c r="E64" s="294">
        <f t="shared" si="3"/>
        <v>1040</v>
      </c>
      <c r="F64" s="32" t="s">
        <v>57</v>
      </c>
      <c r="G64" s="33">
        <v>2021</v>
      </c>
      <c r="H64" s="33">
        <v>2023</v>
      </c>
      <c r="I64" s="32">
        <v>180</v>
      </c>
      <c r="J64" s="36">
        <v>2022</v>
      </c>
      <c r="K64" s="36">
        <v>2024</v>
      </c>
      <c r="L64" s="32"/>
      <c r="M64" s="32"/>
      <c r="N64" s="32">
        <v>460</v>
      </c>
      <c r="O64" s="32"/>
      <c r="P64" s="32">
        <v>400</v>
      </c>
      <c r="Q64" s="261"/>
      <c r="R64" s="438"/>
      <c r="S64" s="429"/>
      <c r="T64" s="432"/>
      <c r="U64" s="313" t="s">
        <v>107</v>
      </c>
      <c r="V64" s="435"/>
      <c r="W64" s="260"/>
    </row>
    <row r="65" spans="1:23" ht="15.75">
      <c r="A65" s="263" t="s">
        <v>570</v>
      </c>
      <c r="B65" s="307" t="s">
        <v>571</v>
      </c>
      <c r="C65" s="26">
        <v>0.8</v>
      </c>
      <c r="D65" s="26">
        <v>0.8</v>
      </c>
      <c r="E65" s="294">
        <f t="shared" si="3"/>
        <v>430</v>
      </c>
      <c r="F65" s="32" t="s">
        <v>57</v>
      </c>
      <c r="G65" s="33">
        <v>2020</v>
      </c>
      <c r="H65" s="33">
        <v>2020</v>
      </c>
      <c r="I65" s="32">
        <v>70</v>
      </c>
      <c r="J65" s="33">
        <v>2021</v>
      </c>
      <c r="K65" s="33">
        <v>2021</v>
      </c>
      <c r="L65" s="32"/>
      <c r="M65" s="32">
        <v>360</v>
      </c>
      <c r="N65" s="32"/>
      <c r="O65" s="32"/>
      <c r="P65" s="32"/>
      <c r="Q65" s="261"/>
      <c r="R65" s="438"/>
      <c r="S65" s="429"/>
      <c r="T65" s="432"/>
      <c r="U65" s="313" t="s">
        <v>572</v>
      </c>
      <c r="V65" s="435"/>
      <c r="W65" s="260"/>
    </row>
    <row r="66" spans="1:23" s="40" customFormat="1">
      <c r="A66" s="263" t="s">
        <v>108</v>
      </c>
      <c r="B66" s="311" t="s">
        <v>109</v>
      </c>
      <c r="C66" s="259"/>
      <c r="D66" s="259"/>
      <c r="E66" s="312">
        <f t="shared" si="3"/>
        <v>0</v>
      </c>
      <c r="F66" s="261"/>
      <c r="G66" s="35"/>
      <c r="H66" s="33"/>
      <c r="I66" s="32"/>
      <c r="J66" s="32"/>
      <c r="K66" s="32"/>
      <c r="L66" s="32"/>
      <c r="M66" s="32"/>
      <c r="N66" s="32"/>
      <c r="O66" s="32"/>
      <c r="P66" s="32"/>
      <c r="Q66" s="261"/>
      <c r="R66" s="438"/>
      <c r="S66" s="429"/>
      <c r="T66" s="432"/>
      <c r="U66" s="259"/>
      <c r="V66" s="435"/>
      <c r="W66" s="260"/>
    </row>
    <row r="67" spans="1:23" ht="31.5">
      <c r="A67" s="263" t="s">
        <v>110</v>
      </c>
      <c r="B67" s="307" t="s">
        <v>95</v>
      </c>
      <c r="C67" s="26">
        <v>2</v>
      </c>
      <c r="D67" s="26">
        <v>2</v>
      </c>
      <c r="E67" s="294">
        <f t="shared" si="3"/>
        <v>1266</v>
      </c>
      <c r="F67" s="32" t="s">
        <v>57</v>
      </c>
      <c r="G67" s="33">
        <v>2020</v>
      </c>
      <c r="H67" s="33">
        <v>2020</v>
      </c>
      <c r="I67" s="32">
        <v>66</v>
      </c>
      <c r="J67" s="33">
        <v>2021</v>
      </c>
      <c r="K67" s="33">
        <v>2021</v>
      </c>
      <c r="L67" s="32"/>
      <c r="M67" s="32">
        <v>1200</v>
      </c>
      <c r="N67" s="32"/>
      <c r="O67" s="32"/>
      <c r="P67" s="32"/>
      <c r="Q67" s="261"/>
      <c r="R67" s="439"/>
      <c r="S67" s="430"/>
      <c r="T67" s="433"/>
      <c r="U67" s="313" t="s">
        <v>573</v>
      </c>
      <c r="V67" s="436"/>
      <c r="W67" s="260"/>
    </row>
    <row r="68" spans="1:23" s="5" customFormat="1">
      <c r="A68" s="3" t="s">
        <v>112</v>
      </c>
      <c r="B68" s="43" t="s">
        <v>113</v>
      </c>
      <c r="C68" s="43"/>
      <c r="D68" s="43"/>
      <c r="E68" s="44"/>
      <c r="F68" s="44"/>
      <c r="G68" s="44"/>
      <c r="H68" s="44"/>
      <c r="I68" s="44"/>
      <c r="J68" s="44"/>
      <c r="K68" s="44"/>
      <c r="L68" s="44"/>
      <c r="M68" s="44"/>
      <c r="N68" s="44"/>
      <c r="O68" s="44"/>
      <c r="P68" s="44"/>
      <c r="Q68" s="44"/>
      <c r="R68" s="44"/>
      <c r="S68" s="44"/>
      <c r="T68" s="30"/>
      <c r="U68" s="43"/>
      <c r="V68" s="30"/>
      <c r="W68" s="3"/>
    </row>
    <row r="69" spans="1:23" ht="15" customHeight="1">
      <c r="A69" s="263" t="s">
        <v>114</v>
      </c>
      <c r="B69" s="410" t="s">
        <v>82</v>
      </c>
      <c r="C69" s="410"/>
      <c r="D69" s="410"/>
      <c r="E69" s="261"/>
      <c r="F69" s="261"/>
      <c r="G69" s="261"/>
      <c r="H69" s="261"/>
      <c r="I69" s="261"/>
      <c r="J69" s="261"/>
      <c r="K69" s="261"/>
      <c r="L69" s="261"/>
      <c r="M69" s="261"/>
      <c r="N69" s="261"/>
      <c r="O69" s="261"/>
      <c r="P69" s="261"/>
      <c r="Q69" s="261"/>
      <c r="R69" s="437" t="s">
        <v>566</v>
      </c>
      <c r="S69" s="440" t="s">
        <v>46</v>
      </c>
      <c r="T69" s="440" t="s">
        <v>567</v>
      </c>
      <c r="U69" s="259"/>
      <c r="V69" s="440" t="s">
        <v>655</v>
      </c>
      <c r="W69" s="260"/>
    </row>
    <row r="70" spans="1:23" ht="15.75">
      <c r="A70" s="263" t="s">
        <v>115</v>
      </c>
      <c r="B70" s="307" t="s">
        <v>116</v>
      </c>
      <c r="C70" s="26">
        <v>9</v>
      </c>
      <c r="D70" s="26">
        <v>9</v>
      </c>
      <c r="E70" s="294">
        <f t="shared" ref="E70:E94" si="4">I70+O70+P70+N70+M70+L70</f>
        <v>955</v>
      </c>
      <c r="F70" s="32" t="s">
        <v>57</v>
      </c>
      <c r="G70" s="32">
        <v>2020</v>
      </c>
      <c r="H70" s="32">
        <v>2021</v>
      </c>
      <c r="I70" s="32">
        <v>30</v>
      </c>
      <c r="J70" s="33">
        <v>2020</v>
      </c>
      <c r="K70" s="33">
        <v>2024</v>
      </c>
      <c r="L70" s="32">
        <v>105</v>
      </c>
      <c r="M70" s="32">
        <v>170</v>
      </c>
      <c r="N70" s="32">
        <v>215</v>
      </c>
      <c r="O70" s="32">
        <v>300</v>
      </c>
      <c r="P70" s="32">
        <v>135</v>
      </c>
      <c r="Q70" s="261"/>
      <c r="R70" s="438"/>
      <c r="S70" s="441"/>
      <c r="T70" s="441" t="s">
        <v>117</v>
      </c>
      <c r="U70" s="313" t="s">
        <v>118</v>
      </c>
      <c r="V70" s="441" t="s">
        <v>85</v>
      </c>
      <c r="W70" s="260"/>
    </row>
    <row r="71" spans="1:23">
      <c r="A71" s="263" t="s">
        <v>119</v>
      </c>
      <c r="B71" s="307" t="s">
        <v>120</v>
      </c>
      <c r="C71" s="26">
        <f>4.68+13.6</f>
        <v>18.28</v>
      </c>
      <c r="D71" s="26">
        <f>4.68+13.6</f>
        <v>18.28</v>
      </c>
      <c r="E71" s="294">
        <f t="shared" si="4"/>
        <v>11747.2</v>
      </c>
      <c r="F71" s="32" t="s">
        <v>57</v>
      </c>
      <c r="G71" s="32">
        <v>2021</v>
      </c>
      <c r="H71" s="32">
        <v>2024</v>
      </c>
      <c r="I71" s="32">
        <v>47.4</v>
      </c>
      <c r="J71" s="33">
        <v>2021</v>
      </c>
      <c r="K71" s="33">
        <v>2024</v>
      </c>
      <c r="L71" s="32"/>
      <c r="M71" s="32">
        <v>5000</v>
      </c>
      <c r="N71" s="32">
        <f>5485+575.1</f>
        <v>6060.1</v>
      </c>
      <c r="O71" s="32"/>
      <c r="P71" s="32">
        <v>639.70000000000005</v>
      </c>
      <c r="Q71" s="261"/>
      <c r="R71" s="438"/>
      <c r="S71" s="441"/>
      <c r="T71" s="441" t="s">
        <v>117</v>
      </c>
      <c r="U71" s="34" t="s">
        <v>121</v>
      </c>
      <c r="V71" s="441" t="s">
        <v>85</v>
      </c>
      <c r="W71" s="260"/>
    </row>
    <row r="72" spans="1:23">
      <c r="A72" s="263" t="s">
        <v>122</v>
      </c>
      <c r="B72" s="307" t="s">
        <v>123</v>
      </c>
      <c r="C72" s="26">
        <v>2.0299999999999998</v>
      </c>
      <c r="D72" s="26">
        <v>2.0299999999999998</v>
      </c>
      <c r="E72" s="294">
        <f t="shared" si="4"/>
        <v>4280.13</v>
      </c>
      <c r="F72" s="32" t="s">
        <v>57</v>
      </c>
      <c r="G72" s="32">
        <v>2021</v>
      </c>
      <c r="H72" s="32">
        <v>2024</v>
      </c>
      <c r="I72" s="32">
        <v>176.41</v>
      </c>
      <c r="J72" s="33">
        <v>2022</v>
      </c>
      <c r="K72" s="33">
        <v>2023</v>
      </c>
      <c r="L72" s="32"/>
      <c r="M72" s="32"/>
      <c r="N72" s="32">
        <f>3503-19.28</f>
        <v>3483.72</v>
      </c>
      <c r="O72" s="32">
        <v>620</v>
      </c>
      <c r="P72" s="32"/>
      <c r="Q72" s="261"/>
      <c r="R72" s="438"/>
      <c r="S72" s="441"/>
      <c r="T72" s="441" t="s">
        <v>117</v>
      </c>
      <c r="U72" s="34" t="s">
        <v>124</v>
      </c>
      <c r="V72" s="441" t="s">
        <v>85</v>
      </c>
      <c r="W72" s="260"/>
    </row>
    <row r="73" spans="1:23">
      <c r="A73" s="263" t="s">
        <v>125</v>
      </c>
      <c r="B73" s="307" t="s">
        <v>126</v>
      </c>
      <c r="C73" s="26">
        <v>0.54</v>
      </c>
      <c r="D73" s="26">
        <v>0.54</v>
      </c>
      <c r="E73" s="302">
        <f t="shared" si="4"/>
        <v>170.97</v>
      </c>
      <c r="F73" s="32" t="s">
        <v>57</v>
      </c>
      <c r="G73" s="32">
        <v>2021</v>
      </c>
      <c r="H73" s="32">
        <v>2024</v>
      </c>
      <c r="I73" s="32">
        <v>21.77</v>
      </c>
      <c r="J73" s="33">
        <v>2022</v>
      </c>
      <c r="K73" s="33">
        <v>2024</v>
      </c>
      <c r="L73" s="32"/>
      <c r="M73" s="32"/>
      <c r="N73" s="32">
        <v>54</v>
      </c>
      <c r="O73" s="32"/>
      <c r="P73" s="32">
        <v>95.2</v>
      </c>
      <c r="Q73" s="261"/>
      <c r="R73" s="438"/>
      <c r="S73" s="441"/>
      <c r="T73" s="441" t="s">
        <v>117</v>
      </c>
      <c r="U73" s="34" t="s">
        <v>127</v>
      </c>
      <c r="V73" s="441" t="s">
        <v>85</v>
      </c>
      <c r="W73" s="260"/>
    </row>
    <row r="74" spans="1:23">
      <c r="A74" s="263" t="s">
        <v>128</v>
      </c>
      <c r="B74" s="410" t="s">
        <v>109</v>
      </c>
      <c r="C74" s="410"/>
      <c r="D74" s="410"/>
      <c r="E74" s="294">
        <f t="shared" si="4"/>
        <v>0</v>
      </c>
      <c r="F74" s="261"/>
      <c r="G74" s="261"/>
      <c r="H74" s="261"/>
      <c r="I74" s="261"/>
      <c r="J74" s="35"/>
      <c r="K74" s="35"/>
      <c r="L74" s="261"/>
      <c r="M74" s="261"/>
      <c r="N74" s="261"/>
      <c r="O74" s="261"/>
      <c r="P74" s="261"/>
      <c r="Q74" s="261"/>
      <c r="R74" s="438"/>
      <c r="S74" s="441"/>
      <c r="T74" s="441" t="s">
        <v>117</v>
      </c>
      <c r="U74" s="259"/>
      <c r="V74" s="441" t="s">
        <v>85</v>
      </c>
      <c r="W74" s="260"/>
    </row>
    <row r="75" spans="1:23">
      <c r="A75" s="263" t="s">
        <v>129</v>
      </c>
      <c r="B75" s="307" t="s">
        <v>130</v>
      </c>
      <c r="C75" s="26">
        <v>13</v>
      </c>
      <c r="D75" s="26">
        <v>13</v>
      </c>
      <c r="E75" s="294">
        <f t="shared" si="4"/>
        <v>3760</v>
      </c>
      <c r="F75" s="32" t="s">
        <v>34</v>
      </c>
      <c r="G75" s="32"/>
      <c r="H75" s="32"/>
      <c r="I75" s="32"/>
      <c r="J75" s="33">
        <v>2020</v>
      </c>
      <c r="K75" s="33">
        <v>2024</v>
      </c>
      <c r="L75" s="32">
        <v>560</v>
      </c>
      <c r="M75" s="32">
        <v>800</v>
      </c>
      <c r="N75" s="32">
        <v>800</v>
      </c>
      <c r="O75" s="32">
        <v>800</v>
      </c>
      <c r="P75" s="32">
        <v>800</v>
      </c>
      <c r="Q75" s="261"/>
      <c r="R75" s="438"/>
      <c r="S75" s="441"/>
      <c r="T75" s="441" t="s">
        <v>117</v>
      </c>
      <c r="U75" s="34" t="s">
        <v>131</v>
      </c>
      <c r="V75" s="441" t="s">
        <v>85</v>
      </c>
      <c r="W75" s="260"/>
    </row>
    <row r="76" spans="1:23">
      <c r="A76" s="263" t="s">
        <v>132</v>
      </c>
      <c r="B76" s="307" t="s">
        <v>120</v>
      </c>
      <c r="C76" s="26">
        <v>4.72</v>
      </c>
      <c r="D76" s="26">
        <v>4.72</v>
      </c>
      <c r="E76" s="294">
        <f t="shared" si="4"/>
        <v>3378.36</v>
      </c>
      <c r="F76" s="32" t="s">
        <v>57</v>
      </c>
      <c r="G76" s="32">
        <v>2020</v>
      </c>
      <c r="H76" s="32">
        <v>2020</v>
      </c>
      <c r="I76" s="32">
        <v>30</v>
      </c>
      <c r="J76" s="33">
        <v>2021</v>
      </c>
      <c r="K76" s="33">
        <v>2021</v>
      </c>
      <c r="L76" s="32"/>
      <c r="M76" s="32">
        <v>3348.36</v>
      </c>
      <c r="N76" s="32"/>
      <c r="O76" s="32"/>
      <c r="P76" s="32"/>
      <c r="Q76" s="261"/>
      <c r="R76" s="438"/>
      <c r="S76" s="441"/>
      <c r="T76" s="441" t="s">
        <v>117</v>
      </c>
      <c r="U76" s="34" t="s">
        <v>121</v>
      </c>
      <c r="V76" s="441" t="s">
        <v>85</v>
      </c>
      <c r="W76" s="260"/>
    </row>
    <row r="77" spans="1:23" ht="47.25">
      <c r="A77" s="263" t="s">
        <v>133</v>
      </c>
      <c r="B77" s="307" t="s">
        <v>134</v>
      </c>
      <c r="C77" s="26">
        <v>1.04</v>
      </c>
      <c r="D77" s="26">
        <v>1.04</v>
      </c>
      <c r="E77" s="294">
        <f t="shared" si="4"/>
        <v>1068.2</v>
      </c>
      <c r="F77" s="32" t="s">
        <v>34</v>
      </c>
      <c r="G77" s="32"/>
      <c r="H77" s="32"/>
      <c r="I77" s="32"/>
      <c r="J77" s="33">
        <v>2020</v>
      </c>
      <c r="K77" s="33">
        <v>2020</v>
      </c>
      <c r="L77" s="32">
        <v>1068.2</v>
      </c>
      <c r="M77" s="32"/>
      <c r="N77" s="32"/>
      <c r="O77" s="32"/>
      <c r="P77" s="32"/>
      <c r="Q77" s="261"/>
      <c r="R77" s="438"/>
      <c r="S77" s="441"/>
      <c r="T77" s="441" t="s">
        <v>117</v>
      </c>
      <c r="U77" s="313" t="s">
        <v>135</v>
      </c>
      <c r="V77" s="441" t="s">
        <v>85</v>
      </c>
      <c r="W77" s="260"/>
    </row>
    <row r="78" spans="1:23" ht="15.75">
      <c r="A78" s="263" t="s">
        <v>136</v>
      </c>
      <c r="B78" s="307" t="s">
        <v>137</v>
      </c>
      <c r="C78" s="26">
        <v>0.52</v>
      </c>
      <c r="D78" s="26">
        <v>0.52</v>
      </c>
      <c r="E78" s="294">
        <f t="shared" si="4"/>
        <v>1176.07</v>
      </c>
      <c r="F78" s="32" t="s">
        <v>34</v>
      </c>
      <c r="G78" s="32"/>
      <c r="H78" s="32"/>
      <c r="I78" s="32"/>
      <c r="J78" s="33">
        <v>2020</v>
      </c>
      <c r="K78" s="33">
        <v>2020</v>
      </c>
      <c r="L78" s="32">
        <v>1176.07</v>
      </c>
      <c r="M78" s="32"/>
      <c r="N78" s="32"/>
      <c r="O78" s="32"/>
      <c r="P78" s="32"/>
      <c r="Q78" s="261"/>
      <c r="R78" s="438"/>
      <c r="S78" s="441"/>
      <c r="T78" s="441" t="s">
        <v>117</v>
      </c>
      <c r="U78" s="313" t="s">
        <v>138</v>
      </c>
      <c r="V78" s="441" t="s">
        <v>85</v>
      </c>
      <c r="W78" s="260"/>
    </row>
    <row r="79" spans="1:23">
      <c r="A79" s="263" t="s">
        <v>139</v>
      </c>
      <c r="B79" s="410" t="s">
        <v>93</v>
      </c>
      <c r="C79" s="410"/>
      <c r="D79" s="410"/>
      <c r="E79" s="294">
        <f t="shared" si="4"/>
        <v>0</v>
      </c>
      <c r="F79" s="261"/>
      <c r="G79" s="261"/>
      <c r="H79" s="261"/>
      <c r="I79" s="261"/>
      <c r="J79" s="35"/>
      <c r="K79" s="35"/>
      <c r="L79" s="261"/>
      <c r="M79" s="261"/>
      <c r="N79" s="261"/>
      <c r="O79" s="261"/>
      <c r="P79" s="261"/>
      <c r="Q79" s="261"/>
      <c r="R79" s="438"/>
      <c r="S79" s="441"/>
      <c r="T79" s="441" t="s">
        <v>117</v>
      </c>
      <c r="U79" s="259"/>
      <c r="V79" s="441" t="s">
        <v>85</v>
      </c>
      <c r="W79" s="260"/>
    </row>
    <row r="80" spans="1:23">
      <c r="A80" s="263" t="s">
        <v>140</v>
      </c>
      <c r="B80" s="307" t="s">
        <v>130</v>
      </c>
      <c r="C80" s="26">
        <v>24</v>
      </c>
      <c r="D80" s="26">
        <v>24</v>
      </c>
      <c r="E80" s="294">
        <f t="shared" si="4"/>
        <v>4875</v>
      </c>
      <c r="F80" s="32" t="s">
        <v>34</v>
      </c>
      <c r="G80" s="32"/>
      <c r="H80" s="32"/>
      <c r="I80" s="32"/>
      <c r="J80" s="33">
        <v>2020</v>
      </c>
      <c r="K80" s="33">
        <v>2024</v>
      </c>
      <c r="L80" s="32">
        <v>1230</v>
      </c>
      <c r="M80" s="32">
        <v>1000</v>
      </c>
      <c r="N80" s="32">
        <v>1000</v>
      </c>
      <c r="O80" s="32">
        <v>1000</v>
      </c>
      <c r="P80" s="32">
        <v>645</v>
      </c>
      <c r="Q80" s="261"/>
      <c r="R80" s="438"/>
      <c r="S80" s="441"/>
      <c r="T80" s="441" t="s">
        <v>117</v>
      </c>
      <c r="U80" s="34" t="s">
        <v>131</v>
      </c>
      <c r="V80" s="441" t="s">
        <v>85</v>
      </c>
      <c r="W80" s="260"/>
    </row>
    <row r="81" spans="1:23" ht="31.5">
      <c r="A81" s="263" t="s">
        <v>141</v>
      </c>
      <c r="B81" s="307" t="s">
        <v>142</v>
      </c>
      <c r="C81" s="26">
        <v>0.82</v>
      </c>
      <c r="D81" s="26">
        <v>0.82</v>
      </c>
      <c r="E81" s="294">
        <f t="shared" si="4"/>
        <v>393.6</v>
      </c>
      <c r="F81" s="32" t="s">
        <v>57</v>
      </c>
      <c r="G81" s="32">
        <v>2022</v>
      </c>
      <c r="H81" s="32">
        <v>2022</v>
      </c>
      <c r="I81" s="32">
        <v>24.6</v>
      </c>
      <c r="J81" s="33">
        <v>2023</v>
      </c>
      <c r="K81" s="33">
        <v>2023</v>
      </c>
      <c r="L81" s="32"/>
      <c r="M81" s="32"/>
      <c r="N81" s="32"/>
      <c r="O81" s="32">
        <v>369</v>
      </c>
      <c r="P81" s="32"/>
      <c r="Q81" s="261"/>
      <c r="R81" s="438"/>
      <c r="S81" s="441"/>
      <c r="T81" s="441" t="s">
        <v>117</v>
      </c>
      <c r="U81" s="313" t="s">
        <v>574</v>
      </c>
      <c r="V81" s="441" t="s">
        <v>85</v>
      </c>
      <c r="W81" s="260"/>
    </row>
    <row r="82" spans="1:23">
      <c r="A82" s="263" t="s">
        <v>144</v>
      </c>
      <c r="B82" s="307" t="s">
        <v>120</v>
      </c>
      <c r="C82" s="26">
        <v>4.4000000000000004</v>
      </c>
      <c r="D82" s="26">
        <v>4.4000000000000004</v>
      </c>
      <c r="E82" s="294">
        <f t="shared" si="4"/>
        <v>3254.52</v>
      </c>
      <c r="F82" s="32" t="s">
        <v>57</v>
      </c>
      <c r="G82" s="32">
        <v>2020</v>
      </c>
      <c r="H82" s="32">
        <v>2022</v>
      </c>
      <c r="I82" s="32">
        <v>131.94</v>
      </c>
      <c r="J82" s="33">
        <v>2021</v>
      </c>
      <c r="K82" s="33">
        <v>2023</v>
      </c>
      <c r="L82" s="32"/>
      <c r="M82" s="32">
        <v>734.14</v>
      </c>
      <c r="N82" s="32">
        <v>1926.94</v>
      </c>
      <c r="O82" s="32">
        <v>461.5</v>
      </c>
      <c r="P82" s="32"/>
      <c r="Q82" s="261"/>
      <c r="R82" s="438"/>
      <c r="S82" s="441"/>
      <c r="T82" s="441" t="s">
        <v>117</v>
      </c>
      <c r="U82" s="34" t="s">
        <v>121</v>
      </c>
      <c r="V82" s="441" t="s">
        <v>85</v>
      </c>
      <c r="W82" s="260"/>
    </row>
    <row r="83" spans="1:23" ht="15.75">
      <c r="A83" s="263" t="s">
        <v>145</v>
      </c>
      <c r="B83" s="307" t="s">
        <v>137</v>
      </c>
      <c r="C83" s="26">
        <v>13.74</v>
      </c>
      <c r="D83" s="26">
        <v>13.74</v>
      </c>
      <c r="E83" s="294">
        <f t="shared" si="4"/>
        <v>33571.149999999994</v>
      </c>
      <c r="F83" s="32" t="s">
        <v>57</v>
      </c>
      <c r="G83" s="32">
        <v>2021</v>
      </c>
      <c r="H83" s="32">
        <v>2022</v>
      </c>
      <c r="I83" s="32">
        <v>789.81</v>
      </c>
      <c r="J83" s="33">
        <v>2020</v>
      </c>
      <c r="K83" s="33">
        <v>2023</v>
      </c>
      <c r="L83" s="32">
        <v>7383.34</v>
      </c>
      <c r="M83" s="32"/>
      <c r="N83" s="32">
        <v>19353</v>
      </c>
      <c r="O83" s="32">
        <v>6045</v>
      </c>
      <c r="P83" s="32"/>
      <c r="Q83" s="261"/>
      <c r="R83" s="438"/>
      <c r="S83" s="441"/>
      <c r="T83" s="441" t="s">
        <v>117</v>
      </c>
      <c r="U83" s="313" t="s">
        <v>146</v>
      </c>
      <c r="V83" s="441" t="s">
        <v>85</v>
      </c>
      <c r="W83" s="260"/>
    </row>
    <row r="84" spans="1:23">
      <c r="A84" s="263" t="s">
        <v>147</v>
      </c>
      <c r="B84" s="307" t="s">
        <v>126</v>
      </c>
      <c r="C84" s="26">
        <v>3.3</v>
      </c>
      <c r="D84" s="26">
        <v>3.3</v>
      </c>
      <c r="E84" s="294">
        <f t="shared" si="4"/>
        <v>2077.9</v>
      </c>
      <c r="F84" s="32" t="s">
        <v>57</v>
      </c>
      <c r="G84" s="32">
        <v>2020</v>
      </c>
      <c r="H84" s="32">
        <v>2021</v>
      </c>
      <c r="I84" s="32">
        <v>263.5</v>
      </c>
      <c r="J84" s="33">
        <v>2021</v>
      </c>
      <c r="K84" s="33">
        <v>2022</v>
      </c>
      <c r="L84" s="32"/>
      <c r="M84" s="32">
        <v>1713.6</v>
      </c>
      <c r="N84" s="32">
        <v>100.8</v>
      </c>
      <c r="O84" s="32"/>
      <c r="P84" s="32"/>
      <c r="Q84" s="261"/>
      <c r="R84" s="438"/>
      <c r="S84" s="441"/>
      <c r="T84" s="441" t="s">
        <v>117</v>
      </c>
      <c r="U84" s="34" t="s">
        <v>127</v>
      </c>
      <c r="V84" s="441" t="s">
        <v>85</v>
      </c>
      <c r="W84" s="260"/>
    </row>
    <row r="85" spans="1:23">
      <c r="A85" s="263" t="s">
        <v>148</v>
      </c>
      <c r="B85" s="311" t="s">
        <v>105</v>
      </c>
      <c r="C85" s="259"/>
      <c r="D85" s="259"/>
      <c r="E85" s="294">
        <f t="shared" si="4"/>
        <v>0</v>
      </c>
      <c r="F85" s="261"/>
      <c r="G85" s="261"/>
      <c r="H85" s="261"/>
      <c r="I85" s="261"/>
      <c r="J85" s="35"/>
      <c r="K85" s="35"/>
      <c r="L85" s="261"/>
      <c r="M85" s="261"/>
      <c r="N85" s="261"/>
      <c r="O85" s="261"/>
      <c r="P85" s="261"/>
      <c r="Q85" s="261"/>
      <c r="R85" s="438"/>
      <c r="S85" s="441"/>
      <c r="T85" s="441" t="s">
        <v>117</v>
      </c>
      <c r="U85" s="259"/>
      <c r="V85" s="441" t="s">
        <v>85</v>
      </c>
      <c r="W85" s="260"/>
    </row>
    <row r="86" spans="1:23">
      <c r="A86" s="263" t="s">
        <v>149</v>
      </c>
      <c r="B86" s="307" t="s">
        <v>130</v>
      </c>
      <c r="C86" s="26">
        <v>21</v>
      </c>
      <c r="D86" s="26">
        <v>21</v>
      </c>
      <c r="E86" s="294">
        <f t="shared" si="4"/>
        <v>6124.17</v>
      </c>
      <c r="F86" s="32" t="s">
        <v>57</v>
      </c>
      <c r="G86" s="32">
        <v>2020</v>
      </c>
      <c r="H86" s="32">
        <v>2020</v>
      </c>
      <c r="I86" s="32">
        <v>60</v>
      </c>
      <c r="J86" s="33">
        <v>2020</v>
      </c>
      <c r="K86" s="33">
        <v>2023</v>
      </c>
      <c r="L86" s="32">
        <v>1039</v>
      </c>
      <c r="M86" s="32">
        <v>1350</v>
      </c>
      <c r="N86" s="32">
        <v>1000</v>
      </c>
      <c r="O86" s="32">
        <v>1060</v>
      </c>
      <c r="P86" s="32">
        <v>1615.17</v>
      </c>
      <c r="Q86" s="261"/>
      <c r="R86" s="438"/>
      <c r="S86" s="441"/>
      <c r="T86" s="441" t="s">
        <v>117</v>
      </c>
      <c r="U86" s="34" t="s">
        <v>150</v>
      </c>
      <c r="V86" s="441" t="s">
        <v>85</v>
      </c>
      <c r="W86" s="260"/>
    </row>
    <row r="87" spans="1:23" ht="15.75">
      <c r="A87" s="263" t="s">
        <v>151</v>
      </c>
      <c r="B87" s="307" t="s">
        <v>134</v>
      </c>
      <c r="C87" s="26">
        <v>10.199999999999999</v>
      </c>
      <c r="D87" s="26">
        <v>10.199999999999999</v>
      </c>
      <c r="E87" s="294">
        <f t="shared" si="4"/>
        <v>9361.7999999999993</v>
      </c>
      <c r="F87" s="32" t="s">
        <v>34</v>
      </c>
      <c r="G87" s="32"/>
      <c r="H87" s="32"/>
      <c r="I87" s="32"/>
      <c r="J87" s="33">
        <v>2020</v>
      </c>
      <c r="K87" s="33">
        <v>2021</v>
      </c>
      <c r="L87" s="284">
        <v>7336.8</v>
      </c>
      <c r="M87" s="32">
        <v>2025</v>
      </c>
      <c r="N87" s="32"/>
      <c r="O87" s="32"/>
      <c r="P87" s="32"/>
      <c r="Q87" s="261"/>
      <c r="R87" s="438"/>
      <c r="S87" s="441"/>
      <c r="T87" s="441" t="s">
        <v>117</v>
      </c>
      <c r="U87" s="313" t="s">
        <v>152</v>
      </c>
      <c r="V87" s="441" t="s">
        <v>85</v>
      </c>
      <c r="W87" s="260"/>
    </row>
    <row r="88" spans="1:23">
      <c r="A88" s="263" t="s">
        <v>153</v>
      </c>
      <c r="B88" s="307" t="s">
        <v>120</v>
      </c>
      <c r="C88" s="26">
        <v>1</v>
      </c>
      <c r="D88" s="26">
        <v>1</v>
      </c>
      <c r="E88" s="294">
        <f t="shared" si="4"/>
        <v>758.55</v>
      </c>
      <c r="F88" s="32" t="s">
        <v>57</v>
      </c>
      <c r="G88" s="32">
        <v>2021</v>
      </c>
      <c r="H88" s="32">
        <v>2023</v>
      </c>
      <c r="I88" s="32">
        <v>30.75</v>
      </c>
      <c r="J88" s="33">
        <v>2022</v>
      </c>
      <c r="K88" s="33">
        <v>2024</v>
      </c>
      <c r="L88" s="32"/>
      <c r="M88" s="32"/>
      <c r="N88" s="32">
        <v>514.79999999999995</v>
      </c>
      <c r="O88" s="32"/>
      <c r="P88" s="32">
        <v>213</v>
      </c>
      <c r="Q88" s="261"/>
      <c r="R88" s="438"/>
      <c r="S88" s="441"/>
      <c r="T88" s="441" t="s">
        <v>117</v>
      </c>
      <c r="U88" s="34" t="s">
        <v>121</v>
      </c>
      <c r="V88" s="441" t="s">
        <v>85</v>
      </c>
      <c r="W88" s="260"/>
    </row>
    <row r="89" spans="1:23" ht="15.75">
      <c r="A89" s="263" t="s">
        <v>154</v>
      </c>
      <c r="B89" s="307" t="s">
        <v>123</v>
      </c>
      <c r="C89" s="26">
        <v>3.76</v>
      </c>
      <c r="D89" s="26">
        <v>3.76</v>
      </c>
      <c r="E89" s="294">
        <f t="shared" si="4"/>
        <v>12018.5</v>
      </c>
      <c r="F89" s="32" t="s">
        <v>57</v>
      </c>
      <c r="G89" s="32">
        <v>2021</v>
      </c>
      <c r="H89" s="32">
        <v>2021</v>
      </c>
      <c r="I89" s="32">
        <v>362.5</v>
      </c>
      <c r="J89" s="33">
        <v>2022</v>
      </c>
      <c r="K89" s="33">
        <v>2022</v>
      </c>
      <c r="L89" s="32"/>
      <c r="M89" s="32"/>
      <c r="N89" s="32">
        <v>11656</v>
      </c>
      <c r="O89" s="32"/>
      <c r="P89" s="32"/>
      <c r="Q89" s="261"/>
      <c r="R89" s="438"/>
      <c r="S89" s="441"/>
      <c r="T89" s="441" t="s">
        <v>117</v>
      </c>
      <c r="U89" s="313" t="s">
        <v>155</v>
      </c>
      <c r="V89" s="441" t="s">
        <v>85</v>
      </c>
      <c r="W89" s="260"/>
    </row>
    <row r="90" spans="1:23">
      <c r="A90" s="263" t="s">
        <v>156</v>
      </c>
      <c r="B90" s="307" t="s">
        <v>126</v>
      </c>
      <c r="C90" s="26">
        <v>0.13</v>
      </c>
      <c r="D90" s="26">
        <v>0.13</v>
      </c>
      <c r="E90" s="294">
        <f t="shared" si="4"/>
        <v>76.800000000000011</v>
      </c>
      <c r="F90" s="32" t="s">
        <v>57</v>
      </c>
      <c r="G90" s="32">
        <v>2020</v>
      </c>
      <c r="H90" s="32">
        <v>2020</v>
      </c>
      <c r="I90" s="32">
        <v>5.12</v>
      </c>
      <c r="J90" s="33">
        <v>2021</v>
      </c>
      <c r="K90" s="33">
        <v>2021</v>
      </c>
      <c r="L90" s="32"/>
      <c r="M90" s="32">
        <v>71.680000000000007</v>
      </c>
      <c r="N90" s="32"/>
      <c r="O90" s="32"/>
      <c r="P90" s="32"/>
      <c r="Q90" s="261"/>
      <c r="R90" s="438"/>
      <c r="S90" s="441"/>
      <c r="T90" s="441" t="s">
        <v>117</v>
      </c>
      <c r="U90" s="34" t="s">
        <v>127</v>
      </c>
      <c r="V90" s="441" t="s">
        <v>85</v>
      </c>
      <c r="W90" s="260"/>
    </row>
    <row r="91" spans="1:23">
      <c r="A91" s="263" t="s">
        <v>157</v>
      </c>
      <c r="B91" s="311" t="s">
        <v>98</v>
      </c>
      <c r="C91" s="259"/>
      <c r="D91" s="259"/>
      <c r="E91" s="294">
        <f t="shared" si="4"/>
        <v>0</v>
      </c>
      <c r="F91" s="261"/>
      <c r="G91" s="261"/>
      <c r="H91" s="261"/>
      <c r="I91" s="261"/>
      <c r="J91" s="35"/>
      <c r="K91" s="35"/>
      <c r="L91" s="261"/>
      <c r="M91" s="261"/>
      <c r="N91" s="261"/>
      <c r="O91" s="261"/>
      <c r="P91" s="261"/>
      <c r="Q91" s="261"/>
      <c r="R91" s="438"/>
      <c r="S91" s="441"/>
      <c r="T91" s="441" t="s">
        <v>117</v>
      </c>
      <c r="U91" s="259"/>
      <c r="V91" s="441" t="s">
        <v>85</v>
      </c>
      <c r="W91" s="260"/>
    </row>
    <row r="92" spans="1:23" ht="15.75">
      <c r="A92" s="263" t="s">
        <v>158</v>
      </c>
      <c r="B92" s="307" t="s">
        <v>130</v>
      </c>
      <c r="C92" s="26">
        <v>28</v>
      </c>
      <c r="D92" s="26">
        <v>28</v>
      </c>
      <c r="E92" s="294">
        <f t="shared" si="4"/>
        <v>6953</v>
      </c>
      <c r="F92" s="32" t="s">
        <v>57</v>
      </c>
      <c r="G92" s="32">
        <v>2020</v>
      </c>
      <c r="H92" s="32">
        <v>2023</v>
      </c>
      <c r="I92" s="32">
        <v>263</v>
      </c>
      <c r="J92" s="33">
        <v>2020</v>
      </c>
      <c r="K92" s="33">
        <v>2024</v>
      </c>
      <c r="L92" s="32">
        <f>1298-263</f>
        <v>1035</v>
      </c>
      <c r="M92" s="32">
        <v>1065</v>
      </c>
      <c r="N92" s="32">
        <v>2005</v>
      </c>
      <c r="O92" s="32">
        <v>1065</v>
      </c>
      <c r="P92" s="32">
        <f>1520</f>
        <v>1520</v>
      </c>
      <c r="Q92" s="261"/>
      <c r="R92" s="438"/>
      <c r="S92" s="441"/>
      <c r="T92" s="441" t="s">
        <v>117</v>
      </c>
      <c r="U92" s="313" t="s">
        <v>159</v>
      </c>
      <c r="V92" s="441" t="s">
        <v>85</v>
      </c>
      <c r="W92" s="260"/>
    </row>
    <row r="93" spans="1:23">
      <c r="A93" s="263" t="s">
        <v>160</v>
      </c>
      <c r="B93" s="307" t="s">
        <v>123</v>
      </c>
      <c r="C93" s="26">
        <v>10.3</v>
      </c>
      <c r="D93" s="26">
        <v>10.3</v>
      </c>
      <c r="E93" s="294">
        <f t="shared" si="4"/>
        <v>26860.28</v>
      </c>
      <c r="F93" s="32" t="s">
        <v>57</v>
      </c>
      <c r="G93" s="32">
        <v>2021</v>
      </c>
      <c r="H93" s="32">
        <v>2024</v>
      </c>
      <c r="I93" s="32">
        <v>913.28</v>
      </c>
      <c r="J93" s="33">
        <v>2022</v>
      </c>
      <c r="K93" s="33">
        <v>2024</v>
      </c>
      <c r="L93" s="32"/>
      <c r="M93" s="32"/>
      <c r="N93" s="32">
        <v>16430</v>
      </c>
      <c r="O93" s="32">
        <v>4340</v>
      </c>
      <c r="P93" s="32">
        <v>5177</v>
      </c>
      <c r="Q93" s="261"/>
      <c r="R93" s="439"/>
      <c r="S93" s="442"/>
      <c r="T93" s="442" t="s">
        <v>117</v>
      </c>
      <c r="U93" s="34" t="s">
        <v>161</v>
      </c>
      <c r="V93" s="442" t="s">
        <v>85</v>
      </c>
      <c r="W93" s="260"/>
    </row>
    <row r="94" spans="1:23">
      <c r="A94" s="263"/>
      <c r="B94" s="307"/>
      <c r="C94" s="259"/>
      <c r="D94" s="259"/>
      <c r="E94" s="294">
        <f t="shared" si="4"/>
        <v>0</v>
      </c>
      <c r="F94" s="261"/>
      <c r="G94" s="261"/>
      <c r="H94" s="261"/>
      <c r="I94" s="261"/>
      <c r="J94" s="261"/>
      <c r="K94" s="261"/>
      <c r="L94" s="261"/>
      <c r="M94" s="261"/>
      <c r="N94" s="261"/>
      <c r="O94" s="261"/>
      <c r="P94" s="261"/>
      <c r="Q94" s="261"/>
      <c r="R94" s="261"/>
      <c r="S94" s="261"/>
      <c r="T94" s="45"/>
      <c r="U94" s="259"/>
      <c r="V94" s="260"/>
      <c r="W94" s="260"/>
    </row>
    <row r="95" spans="1:23" s="40" customFormat="1" ht="14.25">
      <c r="A95" s="260"/>
      <c r="B95" s="410" t="s">
        <v>162</v>
      </c>
      <c r="C95" s="410"/>
      <c r="D95" s="410"/>
      <c r="E95" s="314">
        <f>E96+E97</f>
        <v>57019.92</v>
      </c>
      <c r="F95" s="261"/>
      <c r="G95" s="261"/>
      <c r="H95" s="261"/>
      <c r="I95" s="314">
        <f>I96+I97</f>
        <v>2030.6200000000001</v>
      </c>
      <c r="J95" s="261"/>
      <c r="K95" s="261"/>
      <c r="L95" s="314">
        <f>L96+L97</f>
        <v>0</v>
      </c>
      <c r="M95" s="314">
        <f t="shared" ref="M95:P95" si="5">M96+M97</f>
        <v>5603.5</v>
      </c>
      <c r="N95" s="314">
        <f t="shared" si="5"/>
        <v>19280</v>
      </c>
      <c r="O95" s="314">
        <f t="shared" si="5"/>
        <v>26220.799999999999</v>
      </c>
      <c r="P95" s="314">
        <f t="shared" si="5"/>
        <v>3885</v>
      </c>
      <c r="Q95" s="261"/>
      <c r="R95" s="261"/>
      <c r="S95" s="261"/>
      <c r="T95" s="45"/>
      <c r="U95" s="259"/>
      <c r="V95" s="260"/>
      <c r="W95" s="260"/>
    </row>
    <row r="96" spans="1:23" s="40" customFormat="1" ht="14.25">
      <c r="A96" s="260"/>
      <c r="B96" s="47" t="s">
        <v>163</v>
      </c>
      <c r="C96" s="47">
        <f>C58+C61+C64+C67</f>
        <v>10</v>
      </c>
      <c r="D96" s="47">
        <f>D58+D61+D64+D67</f>
        <v>10</v>
      </c>
      <c r="E96" s="315">
        <f>E58+E61+E64+E67</f>
        <v>5968</v>
      </c>
      <c r="F96" s="261"/>
      <c r="G96" s="261"/>
      <c r="H96" s="261"/>
      <c r="I96" s="315">
        <f>I58+I61+I64+I67</f>
        <v>378</v>
      </c>
      <c r="J96" s="261"/>
      <c r="K96" s="261"/>
      <c r="L96" s="315">
        <f>L58+L61+L64+L67</f>
        <v>0</v>
      </c>
      <c r="M96" s="315">
        <f t="shared" ref="M96:P96" si="6">M58+M61+M64+M67</f>
        <v>2570</v>
      </c>
      <c r="N96" s="315">
        <f t="shared" si="6"/>
        <v>1920</v>
      </c>
      <c r="O96" s="315">
        <f t="shared" si="6"/>
        <v>700</v>
      </c>
      <c r="P96" s="315">
        <f t="shared" si="6"/>
        <v>400</v>
      </c>
      <c r="Q96" s="261"/>
      <c r="R96" s="261"/>
      <c r="S96" s="261"/>
      <c r="T96" s="45"/>
      <c r="U96" s="259"/>
      <c r="V96" s="260"/>
      <c r="W96" s="260"/>
    </row>
    <row r="97" spans="1:24" s="40" customFormat="1" ht="14.25">
      <c r="A97" s="260"/>
      <c r="B97" s="47" t="s">
        <v>164</v>
      </c>
      <c r="C97" s="47">
        <f>C56+C59+C62+C65</f>
        <v>17.830000000000002</v>
      </c>
      <c r="D97" s="47">
        <f>D56+D59+D62+D65</f>
        <v>17.830000000000002</v>
      </c>
      <c r="E97" s="314">
        <f>E56+E59+E62+E65+E55</f>
        <v>51051.92</v>
      </c>
      <c r="F97" s="261"/>
      <c r="G97" s="261"/>
      <c r="H97" s="261"/>
      <c r="I97" s="314">
        <f>I56+I59+I62+I65+I55</f>
        <v>1652.6200000000001</v>
      </c>
      <c r="J97" s="261"/>
      <c r="K97" s="261"/>
      <c r="L97" s="314">
        <f>L56+L59+L62+L65+L55</f>
        <v>0</v>
      </c>
      <c r="M97" s="314">
        <f t="shared" ref="M97:P97" si="7">M56+M59+M62+M65+M55</f>
        <v>3033.5</v>
      </c>
      <c r="N97" s="314">
        <f t="shared" si="7"/>
        <v>17360</v>
      </c>
      <c r="O97" s="314">
        <f t="shared" si="7"/>
        <v>25520.799999999999</v>
      </c>
      <c r="P97" s="314">
        <f t="shared" si="7"/>
        <v>3485</v>
      </c>
      <c r="Q97" s="261"/>
      <c r="R97" s="261"/>
      <c r="S97" s="261"/>
      <c r="T97" s="261"/>
      <c r="U97" s="259"/>
      <c r="V97" s="260"/>
      <c r="W97" s="260"/>
    </row>
    <row r="98" spans="1:24" s="40" customFormat="1" ht="14.25">
      <c r="A98" s="260"/>
      <c r="B98" s="410" t="s">
        <v>165</v>
      </c>
      <c r="C98" s="410"/>
      <c r="D98" s="410"/>
      <c r="E98" s="316">
        <f>E99+E100</f>
        <v>132861.20000000001</v>
      </c>
      <c r="F98" s="261"/>
      <c r="G98" s="261"/>
      <c r="H98" s="261"/>
      <c r="I98" s="316">
        <f>I99+I100</f>
        <v>3150.08</v>
      </c>
      <c r="J98" s="261"/>
      <c r="K98" s="261"/>
      <c r="L98" s="316">
        <f>L99+L100</f>
        <v>20933.41</v>
      </c>
      <c r="M98" s="316">
        <f t="shared" ref="M98:P98" si="8">M99+M100</f>
        <v>17277.78</v>
      </c>
      <c r="N98" s="316">
        <f t="shared" si="8"/>
        <v>64599.360000000001</v>
      </c>
      <c r="O98" s="316">
        <f t="shared" si="8"/>
        <v>16060.5</v>
      </c>
      <c r="P98" s="316">
        <f t="shared" si="8"/>
        <v>10840.07</v>
      </c>
      <c r="Q98" s="261"/>
      <c r="R98" s="261"/>
      <c r="S98" s="261"/>
      <c r="T98" s="261"/>
      <c r="U98" s="259"/>
      <c r="V98" s="260"/>
      <c r="W98" s="260"/>
    </row>
    <row r="99" spans="1:24" s="40" customFormat="1" ht="14.25">
      <c r="A99" s="260"/>
      <c r="B99" s="47" t="s">
        <v>163</v>
      </c>
      <c r="C99" s="47">
        <f>C70+C75+C80+C86+C92</f>
        <v>95</v>
      </c>
      <c r="D99" s="47">
        <f>D70+D75+D80+D86+D92</f>
        <v>95</v>
      </c>
      <c r="E99" s="317">
        <f>E70+E75+E80+E86+E92</f>
        <v>22667.17</v>
      </c>
      <c r="F99" s="261"/>
      <c r="G99" s="261"/>
      <c r="H99" s="261"/>
      <c r="I99" s="317">
        <f>I70+I75+I80+I86+I92</f>
        <v>353</v>
      </c>
      <c r="J99" s="261"/>
      <c r="K99" s="261"/>
      <c r="L99" s="317">
        <f>L70+L75+L80+L86+L92</f>
        <v>3969</v>
      </c>
      <c r="M99" s="317">
        <f t="shared" ref="M99:P99" si="9">M70+M75+M80+M86+M92</f>
        <v>4385</v>
      </c>
      <c r="N99" s="317">
        <f t="shared" si="9"/>
        <v>5020</v>
      </c>
      <c r="O99" s="317">
        <f t="shared" si="9"/>
        <v>4225</v>
      </c>
      <c r="P99" s="317">
        <f t="shared" si="9"/>
        <v>4715.17</v>
      </c>
      <c r="Q99" s="261"/>
      <c r="R99" s="261"/>
      <c r="S99" s="261"/>
      <c r="T99" s="261"/>
      <c r="U99" s="259"/>
      <c r="V99" s="260"/>
      <c r="W99" s="260"/>
    </row>
    <row r="100" spans="1:24" s="40" customFormat="1" ht="14.25">
      <c r="A100" s="260"/>
      <c r="B100" s="47" t="s">
        <v>164</v>
      </c>
      <c r="C100" s="47">
        <f>C71+C72+C73+C76+C77+C78+C81+C82+C83+C84+C87+C88+C89+C90+C93</f>
        <v>74.78</v>
      </c>
      <c r="D100" s="47">
        <f>D71+D72+D73+D76+D77+D78+D81+D82+D83+D84+D87+D88+D89+D90+D93</f>
        <v>74.78</v>
      </c>
      <c r="E100" s="316">
        <f>E71+E72+E73+E76+E77+E78+E82+E81+E83+E84+E87+E88+E89+E90+E93</f>
        <v>110194.03</v>
      </c>
      <c r="F100" s="261"/>
      <c r="G100" s="261"/>
      <c r="H100" s="261"/>
      <c r="I100" s="316">
        <f>I71+I72+I73+I76+I77+I78+I82+I81+I83+I84+I87+I88+I89+I90+I93</f>
        <v>2797.08</v>
      </c>
      <c r="J100" s="261"/>
      <c r="K100" s="261"/>
      <c r="L100" s="316">
        <f>L71+L72+L73+L76+L77+L78+L82+L81+L83+L84+L87+L88+L89+L90+L93</f>
        <v>16964.41</v>
      </c>
      <c r="M100" s="316">
        <f t="shared" ref="M100:P100" si="10">M71+M72+M73+M76+M77+M78+M82+M81+M83+M84+M87+M88+M89+M90+M93</f>
        <v>12892.78</v>
      </c>
      <c r="N100" s="316">
        <f t="shared" si="10"/>
        <v>59579.360000000001</v>
      </c>
      <c r="O100" s="316">
        <f t="shared" si="10"/>
        <v>11835.5</v>
      </c>
      <c r="P100" s="316">
        <f t="shared" si="10"/>
        <v>6124.9</v>
      </c>
      <c r="Q100" s="261"/>
      <c r="R100" s="261"/>
      <c r="S100" s="261"/>
      <c r="T100" s="261"/>
      <c r="U100" s="259"/>
      <c r="V100" s="260"/>
      <c r="W100" s="260"/>
    </row>
    <row r="101" spans="1:24">
      <c r="A101" s="263"/>
      <c r="B101" s="410" t="s">
        <v>166</v>
      </c>
      <c r="C101" s="410"/>
      <c r="D101" s="410"/>
      <c r="E101" s="261">
        <f>E95+E98</f>
        <v>189881.12</v>
      </c>
      <c r="F101" s="261"/>
      <c r="G101" s="261"/>
      <c r="H101" s="261"/>
      <c r="I101" s="261">
        <f>I95+I98</f>
        <v>5180.7</v>
      </c>
      <c r="J101" s="261"/>
      <c r="K101" s="261"/>
      <c r="L101" s="261">
        <f>L95+L98</f>
        <v>20933.41</v>
      </c>
      <c r="M101" s="261">
        <f t="shared" ref="M101:P101" si="11">M95+M98</f>
        <v>22881.279999999999</v>
      </c>
      <c r="N101" s="261">
        <f t="shared" si="11"/>
        <v>83879.360000000001</v>
      </c>
      <c r="O101" s="261">
        <f t="shared" si="11"/>
        <v>42281.3</v>
      </c>
      <c r="P101" s="261">
        <f t="shared" si="11"/>
        <v>14725.07</v>
      </c>
      <c r="Q101" s="261"/>
      <c r="R101" s="261"/>
      <c r="S101" s="261"/>
      <c r="T101" s="261"/>
      <c r="U101" s="259"/>
      <c r="V101" s="260"/>
      <c r="W101" s="260"/>
    </row>
    <row r="102" spans="1:24" s="5" customFormat="1">
      <c r="A102" s="3">
        <v>5</v>
      </c>
      <c r="B102" s="411" t="s">
        <v>167</v>
      </c>
      <c r="C102" s="411"/>
      <c r="D102" s="411"/>
      <c r="E102" s="4"/>
      <c r="F102" s="4"/>
      <c r="G102" s="4"/>
      <c r="H102" s="4"/>
      <c r="I102" s="4"/>
      <c r="J102" s="4"/>
      <c r="K102" s="4"/>
      <c r="L102" s="4"/>
      <c r="M102" s="4"/>
      <c r="N102" s="4"/>
      <c r="O102" s="4"/>
      <c r="P102" s="4"/>
      <c r="Q102" s="4"/>
      <c r="R102" s="4"/>
      <c r="S102" s="4"/>
      <c r="T102" s="4"/>
      <c r="U102" s="4"/>
      <c r="V102" s="4"/>
      <c r="W102" s="4"/>
    </row>
    <row r="103" spans="1:24">
      <c r="A103" s="56" t="s">
        <v>168</v>
      </c>
      <c r="B103" s="307" t="s">
        <v>575</v>
      </c>
      <c r="C103" s="13"/>
      <c r="D103" s="13"/>
      <c r="E103" s="294">
        <f>I103+O103+P103+N103+M103+L103</f>
        <v>1102.5</v>
      </c>
      <c r="F103" s="13"/>
      <c r="G103" s="290">
        <v>2020</v>
      </c>
      <c r="H103" s="290">
        <v>2020</v>
      </c>
      <c r="I103" s="308">
        <v>1102.5</v>
      </c>
      <c r="J103" s="13"/>
      <c r="K103" s="13"/>
      <c r="L103" s="13"/>
      <c r="M103" s="13"/>
      <c r="N103" s="13"/>
      <c r="O103" s="13"/>
      <c r="P103" s="13"/>
      <c r="Q103" s="13"/>
      <c r="R103" s="13"/>
      <c r="S103" s="13"/>
      <c r="T103" s="13" t="s">
        <v>170</v>
      </c>
      <c r="U103" s="13"/>
      <c r="V103" s="52" t="s">
        <v>656</v>
      </c>
      <c r="W103" s="13"/>
    </row>
    <row r="104" spans="1:24" ht="81">
      <c r="A104" s="56" t="s">
        <v>171</v>
      </c>
      <c r="B104" s="16" t="s">
        <v>172</v>
      </c>
      <c r="C104" s="13"/>
      <c r="D104" s="13"/>
      <c r="E104" s="294">
        <f>I104+O104+P104+N104+M104+L104</f>
        <v>1163.3200000000002</v>
      </c>
      <c r="F104" s="13"/>
      <c r="G104" s="13"/>
      <c r="H104" s="13"/>
      <c r="I104" s="13"/>
      <c r="J104" s="13"/>
      <c r="K104" s="13"/>
      <c r="L104" s="290">
        <v>269</v>
      </c>
      <c r="M104" s="290">
        <v>293.91000000000003</v>
      </c>
      <c r="N104" s="290">
        <v>194</v>
      </c>
      <c r="O104" s="290">
        <v>293.91000000000003</v>
      </c>
      <c r="P104" s="290">
        <v>112.5</v>
      </c>
      <c r="Q104" s="318"/>
      <c r="R104" s="342" t="s">
        <v>173</v>
      </c>
      <c r="S104" s="13"/>
      <c r="T104" s="13" t="s">
        <v>170</v>
      </c>
      <c r="U104" s="13"/>
      <c r="V104" s="52" t="s">
        <v>589</v>
      </c>
      <c r="W104" s="13"/>
    </row>
    <row r="105" spans="1:24" ht="40.5">
      <c r="A105" s="56" t="s">
        <v>174</v>
      </c>
      <c r="B105" s="16" t="s">
        <v>175</v>
      </c>
      <c r="C105" s="13"/>
      <c r="D105" s="13"/>
      <c r="E105" s="294">
        <f>I105+O105+P105+N105+M105+L105</f>
        <v>201360.32</v>
      </c>
      <c r="F105" s="13"/>
      <c r="G105" s="13"/>
      <c r="H105" s="13"/>
      <c r="I105" s="13"/>
      <c r="J105" s="13"/>
      <c r="K105" s="13"/>
      <c r="L105" s="294">
        <v>9171.7200000000012</v>
      </c>
      <c r="M105" s="294">
        <v>57683.4</v>
      </c>
      <c r="N105" s="294">
        <v>38395.4</v>
      </c>
      <c r="O105" s="294">
        <v>49170.400000000001</v>
      </c>
      <c r="P105" s="294">
        <v>46939.4</v>
      </c>
      <c r="Q105" s="318"/>
      <c r="R105" s="342" t="s">
        <v>176</v>
      </c>
      <c r="S105" s="13"/>
      <c r="T105" s="13" t="s">
        <v>170</v>
      </c>
      <c r="U105" s="13"/>
      <c r="V105" s="52" t="s">
        <v>590</v>
      </c>
      <c r="W105" s="13"/>
    </row>
    <row r="106" spans="1:24" ht="45">
      <c r="A106" s="56" t="s">
        <v>189</v>
      </c>
      <c r="B106" s="16" t="s">
        <v>576</v>
      </c>
      <c r="C106" s="13"/>
      <c r="D106" s="13"/>
      <c r="E106" s="294">
        <f>I106+O106+P106+N106+M106+L106</f>
        <v>13472.760000000002</v>
      </c>
      <c r="F106" s="13"/>
      <c r="G106" s="13"/>
      <c r="H106" s="13"/>
      <c r="I106" s="13"/>
      <c r="J106" s="13"/>
      <c r="K106" s="13"/>
      <c r="L106" s="319">
        <v>3769.28</v>
      </c>
      <c r="M106" s="319">
        <v>4002.69</v>
      </c>
      <c r="N106" s="319">
        <v>1274.69</v>
      </c>
      <c r="O106" s="319">
        <v>2458</v>
      </c>
      <c r="P106" s="319">
        <v>1968.1</v>
      </c>
      <c r="Q106" s="318"/>
      <c r="R106" s="342" t="s">
        <v>176</v>
      </c>
      <c r="S106" s="13"/>
      <c r="T106" s="13" t="s">
        <v>170</v>
      </c>
      <c r="U106" s="13"/>
      <c r="V106" s="52" t="s">
        <v>591</v>
      </c>
      <c r="W106" s="13"/>
    </row>
    <row r="107" spans="1:24" ht="37.5" customHeight="1">
      <c r="A107" s="56" t="s">
        <v>195</v>
      </c>
      <c r="B107" s="320" t="s">
        <v>438</v>
      </c>
      <c r="C107" s="13"/>
      <c r="D107" s="13"/>
      <c r="E107" s="294">
        <f>I107+O107+P107+N107+M107+L107</f>
        <v>14026.6</v>
      </c>
      <c r="F107" s="13"/>
      <c r="G107" s="13"/>
      <c r="H107" s="13"/>
      <c r="I107" s="13"/>
      <c r="J107" s="13"/>
      <c r="K107" s="13"/>
      <c r="L107" s="319">
        <v>2500</v>
      </c>
      <c r="M107" s="319">
        <v>4000</v>
      </c>
      <c r="N107" s="319">
        <v>258.91000000000003</v>
      </c>
      <c r="O107" s="319">
        <v>3267.69</v>
      </c>
      <c r="P107" s="319">
        <v>4000</v>
      </c>
      <c r="Q107" s="318"/>
      <c r="R107" s="342" t="s">
        <v>176</v>
      </c>
      <c r="S107" s="13"/>
      <c r="T107" s="13" t="s">
        <v>170</v>
      </c>
      <c r="U107" s="13"/>
      <c r="V107" s="52" t="s">
        <v>657</v>
      </c>
      <c r="W107" s="13"/>
    </row>
    <row r="108" spans="1:24">
      <c r="A108" s="263"/>
      <c r="B108" s="410" t="s">
        <v>196</v>
      </c>
      <c r="C108" s="410"/>
      <c r="D108" s="410"/>
      <c r="E108" s="13">
        <f>SUM(E103:E107)</f>
        <v>231125.50000000003</v>
      </c>
      <c r="F108" s="13"/>
      <c r="G108" s="13"/>
      <c r="H108" s="13"/>
      <c r="I108" s="13">
        <f>SUM(I103:I106)</f>
        <v>1102.5</v>
      </c>
      <c r="J108" s="13"/>
      <c r="K108" s="13"/>
      <c r="L108" s="13">
        <f>SUM(L103:L107)</f>
        <v>15710.000000000002</v>
      </c>
      <c r="M108" s="13">
        <f t="shared" ref="M108:P108" si="12">SUM(M103:M107)</f>
        <v>65980</v>
      </c>
      <c r="N108" s="13">
        <f t="shared" si="12"/>
        <v>40123.000000000007</v>
      </c>
      <c r="O108" s="13">
        <f t="shared" si="12"/>
        <v>55190.000000000007</v>
      </c>
      <c r="P108" s="13">
        <f t="shared" si="12"/>
        <v>53020</v>
      </c>
      <c r="Q108" s="13"/>
      <c r="R108" s="13"/>
      <c r="S108" s="13"/>
      <c r="T108" s="13"/>
      <c r="U108" s="13"/>
      <c r="V108" s="13"/>
      <c r="W108" s="13"/>
    </row>
    <row r="109" spans="1:24" s="5" customFormat="1">
      <c r="A109" s="211"/>
      <c r="B109" s="43" t="s">
        <v>197</v>
      </c>
      <c r="C109" s="43"/>
      <c r="D109" s="43"/>
      <c r="E109" s="232">
        <f>E108+E101+E52</f>
        <v>1971483.0039999997</v>
      </c>
      <c r="F109" s="174"/>
      <c r="G109" s="174"/>
      <c r="H109" s="174"/>
      <c r="I109" s="212">
        <f>I108+I98+I95+I52</f>
        <v>13460.470000000001</v>
      </c>
      <c r="J109" s="174"/>
      <c r="K109" s="174"/>
      <c r="L109" s="212">
        <f>L108+L98+L95+L52</f>
        <v>251168.67500000002</v>
      </c>
      <c r="M109" s="212">
        <f>M108+M98+M95+M52</f>
        <v>326002.25</v>
      </c>
      <c r="N109" s="212">
        <f>N108+N98+N95+N52</f>
        <v>379460.95</v>
      </c>
      <c r="O109" s="212">
        <f>O108+O98+O95+O52</f>
        <v>421294.71899999998</v>
      </c>
      <c r="P109" s="212">
        <f>P108+P98+P95+P52</f>
        <v>580095.93999999994</v>
      </c>
      <c r="Q109" s="212"/>
      <c r="R109" s="174"/>
      <c r="S109" s="174"/>
      <c r="T109" s="174"/>
      <c r="U109" s="174"/>
      <c r="V109" s="174"/>
      <c r="W109" s="174"/>
    </row>
    <row r="110" spans="1:24">
      <c r="A110" s="1"/>
      <c r="B110" s="63"/>
      <c r="C110" s="63"/>
      <c r="D110" s="63"/>
      <c r="E110" s="343"/>
      <c r="F110" s="64"/>
      <c r="G110" s="64"/>
      <c r="H110" s="64"/>
      <c r="I110" s="65"/>
      <c r="J110" s="64"/>
      <c r="K110" s="64"/>
      <c r="L110" s="65"/>
      <c r="M110" s="65"/>
      <c r="N110" s="65"/>
      <c r="O110" s="65"/>
      <c r="P110" s="65"/>
      <c r="Q110" s="65"/>
      <c r="R110" s="64"/>
      <c r="S110" s="64"/>
      <c r="T110" s="64"/>
      <c r="U110" s="64"/>
      <c r="V110" s="64"/>
      <c r="W110" s="64"/>
    </row>
    <row r="111" spans="1:24" s="69" customFormat="1">
      <c r="A111" s="67" t="s">
        <v>198</v>
      </c>
      <c r="B111" s="67"/>
      <c r="C111" s="67"/>
      <c r="D111" s="67"/>
      <c r="E111" s="67"/>
      <c r="F111" s="67"/>
      <c r="G111" s="67"/>
      <c r="H111" s="67"/>
      <c r="I111" s="67"/>
      <c r="J111" s="67"/>
      <c r="K111" s="67"/>
      <c r="L111" s="67"/>
      <c r="M111" s="67"/>
      <c r="N111" s="67"/>
      <c r="O111" s="67"/>
      <c r="P111" s="67"/>
      <c r="Q111" s="67"/>
      <c r="R111" s="67"/>
      <c r="S111" s="67"/>
      <c r="T111" s="67"/>
      <c r="U111" s="67"/>
      <c r="V111" s="2"/>
      <c r="W111" s="2"/>
      <c r="X111" s="258"/>
    </row>
    <row r="112" spans="1:24" s="70" customFormat="1">
      <c r="A112" s="67" t="s">
        <v>199</v>
      </c>
      <c r="B112" s="67"/>
      <c r="C112" s="67"/>
      <c r="D112" s="67"/>
      <c r="E112" s="341"/>
      <c r="F112" s="67"/>
      <c r="Q112" s="321"/>
    </row>
    <row r="113" spans="2:25" s="69" customFormat="1">
      <c r="B113" s="67"/>
      <c r="C113" s="258"/>
      <c r="F113" s="258"/>
      <c r="G113" s="258"/>
      <c r="H113" s="258"/>
      <c r="I113" s="258"/>
      <c r="J113" s="162"/>
      <c r="K113" s="162"/>
      <c r="L113" s="84"/>
      <c r="M113" s="84"/>
      <c r="N113" s="84"/>
      <c r="O113" s="84"/>
      <c r="P113" s="84"/>
      <c r="Q113" s="258"/>
      <c r="R113" s="258"/>
      <c r="S113" s="258"/>
      <c r="T113" s="258"/>
      <c r="U113" s="258"/>
      <c r="V113" s="72"/>
      <c r="W113" s="73"/>
      <c r="X113" s="73"/>
    </row>
    <row r="114" spans="2:25" s="69" customFormat="1" ht="12.75" customHeight="1">
      <c r="B114" s="447" t="s">
        <v>658</v>
      </c>
      <c r="C114" s="344"/>
      <c r="D114" s="403" t="s">
        <v>577</v>
      </c>
      <c r="E114" s="403"/>
      <c r="F114" s="344"/>
      <c r="G114" s="344"/>
      <c r="H114" s="344"/>
      <c r="I114" s="344"/>
      <c r="J114" s="445" t="s">
        <v>371</v>
      </c>
      <c r="K114" s="445"/>
      <c r="L114" s="84"/>
      <c r="M114" s="84"/>
      <c r="N114" s="84"/>
      <c r="O114" s="84"/>
      <c r="P114" s="84"/>
      <c r="Q114" s="344"/>
      <c r="R114" s="344"/>
      <c r="S114" s="344"/>
      <c r="T114" s="344"/>
      <c r="U114" s="344"/>
      <c r="V114" s="72"/>
      <c r="W114" s="73"/>
      <c r="X114" s="73"/>
    </row>
    <row r="115" spans="2:25" s="69" customFormat="1">
      <c r="B115" s="74" t="s">
        <v>659</v>
      </c>
      <c r="C115" s="258"/>
      <c r="D115" s="403" t="s">
        <v>200</v>
      </c>
      <c r="E115" s="403"/>
      <c r="F115" s="258"/>
      <c r="G115" s="258"/>
      <c r="H115" s="258"/>
      <c r="I115" s="258"/>
      <c r="J115" s="403" t="s">
        <v>201</v>
      </c>
      <c r="K115" s="403"/>
      <c r="L115" s="403"/>
      <c r="M115" s="258"/>
      <c r="N115" s="258"/>
      <c r="O115" s="258"/>
      <c r="P115" s="258"/>
      <c r="Q115" s="258"/>
      <c r="R115" s="258"/>
      <c r="S115" s="258"/>
      <c r="T115" s="258"/>
      <c r="U115" s="258"/>
      <c r="V115" s="75"/>
      <c r="W115" s="73"/>
      <c r="X115" s="73"/>
    </row>
    <row r="116" spans="2:25" s="76" customFormat="1" ht="15" customHeight="1">
      <c r="B116" s="77" t="s">
        <v>202</v>
      </c>
      <c r="C116" s="258"/>
      <c r="D116" s="403" t="s">
        <v>203</v>
      </c>
      <c r="E116" s="403"/>
      <c r="F116" s="403"/>
      <c r="G116" s="258"/>
      <c r="H116" s="258"/>
      <c r="I116" s="258"/>
      <c r="J116" s="258"/>
      <c r="K116" s="258"/>
      <c r="L116" s="258"/>
      <c r="M116" s="258"/>
      <c r="N116" s="258"/>
      <c r="O116" s="258"/>
      <c r="P116" s="258"/>
      <c r="Q116" s="258"/>
      <c r="R116" s="258"/>
      <c r="S116" s="258"/>
      <c r="T116" s="258"/>
      <c r="U116" s="258"/>
      <c r="V116" s="258"/>
      <c r="W116" s="69"/>
      <c r="X116" s="69"/>
      <c r="Y116" s="78"/>
    </row>
    <row r="117" spans="2:25" s="76" customFormat="1">
      <c r="B117" s="77"/>
      <c r="C117" s="69"/>
      <c r="D117" s="79"/>
      <c r="E117" s="79"/>
      <c r="F117" s="79"/>
      <c r="G117" s="79"/>
      <c r="H117" s="79"/>
      <c r="I117" s="79"/>
      <c r="J117" s="79"/>
      <c r="K117" s="80"/>
      <c r="L117" s="80"/>
      <c r="M117" s="80"/>
      <c r="N117" s="80"/>
      <c r="O117" s="80"/>
      <c r="P117" s="80"/>
      <c r="Q117" s="79"/>
      <c r="R117" s="79"/>
      <c r="S117" s="79"/>
      <c r="T117" s="79"/>
      <c r="U117" s="79"/>
      <c r="V117" s="75"/>
      <c r="W117" s="69"/>
      <c r="X117" s="69"/>
    </row>
    <row r="118" spans="2:25">
      <c r="B118" s="81" t="s">
        <v>204</v>
      </c>
      <c r="C118" s="76"/>
      <c r="D118" s="76"/>
      <c r="E118" s="76"/>
      <c r="F118" s="76"/>
      <c r="G118" s="76"/>
      <c r="H118" s="76"/>
      <c r="I118" s="76"/>
      <c r="J118" s="76"/>
      <c r="K118" s="76"/>
      <c r="L118" s="76"/>
      <c r="M118" s="76"/>
      <c r="N118" s="76"/>
      <c r="O118" s="76"/>
      <c r="P118" s="76"/>
      <c r="Q118" s="76"/>
      <c r="R118" s="76"/>
      <c r="S118" s="76"/>
      <c r="T118" s="76"/>
      <c r="U118" s="76"/>
      <c r="V118" s="76"/>
      <c r="W118" s="76"/>
    </row>
    <row r="119" spans="2:25">
      <c r="B119" s="82"/>
      <c r="C119" s="76"/>
      <c r="D119" s="76"/>
      <c r="E119" s="76"/>
      <c r="F119" s="76"/>
      <c r="G119" s="76"/>
      <c r="H119" s="76"/>
      <c r="I119" s="76"/>
      <c r="J119" s="76"/>
      <c r="K119" s="76"/>
      <c r="L119" s="76"/>
      <c r="M119" s="76"/>
      <c r="N119" s="76"/>
      <c r="O119" s="76"/>
      <c r="P119" s="76"/>
      <c r="Q119" s="76"/>
      <c r="R119" s="76"/>
      <c r="S119" s="76"/>
      <c r="T119" s="76"/>
      <c r="U119" s="76"/>
      <c r="V119" s="76"/>
      <c r="W119" s="76"/>
    </row>
    <row r="120" spans="2:25">
      <c r="B120" s="83"/>
    </row>
    <row r="122" spans="2:25">
      <c r="G122" s="337"/>
      <c r="H122" s="183"/>
    </row>
    <row r="123" spans="2:25">
      <c r="H123" s="183"/>
    </row>
    <row r="124" spans="2:25">
      <c r="B124" s="40"/>
      <c r="H124" s="339"/>
    </row>
    <row r="125" spans="2:25">
      <c r="H125" s="339"/>
    </row>
    <row r="126" spans="2:25">
      <c r="H126" s="340"/>
    </row>
    <row r="127" spans="2:25">
      <c r="H127" s="183"/>
    </row>
    <row r="128" spans="2:25">
      <c r="H128" s="339"/>
    </row>
    <row r="129" spans="7:7">
      <c r="G129" s="337"/>
    </row>
  </sheetData>
  <sheetProtection insertRows="0" deleteRows="0"/>
  <autoFilter ref="A5:Y109" xr:uid="{00000000-0009-0000-0000-000008000000}"/>
  <mergeCells count="49">
    <mergeCell ref="W2:W4"/>
    <mergeCell ref="A1:W1"/>
    <mergeCell ref="A2:A4"/>
    <mergeCell ref="B2:B4"/>
    <mergeCell ref="C2:C4"/>
    <mergeCell ref="D2:E2"/>
    <mergeCell ref="F2:F4"/>
    <mergeCell ref="G2:H2"/>
    <mergeCell ref="I2:I4"/>
    <mergeCell ref="J2:P2"/>
    <mergeCell ref="Q2:Q4"/>
    <mergeCell ref="R2:R4"/>
    <mergeCell ref="S2:S4"/>
    <mergeCell ref="T2:T4"/>
    <mergeCell ref="U2:U4"/>
    <mergeCell ref="V2:V4"/>
    <mergeCell ref="L3:P3"/>
    <mergeCell ref="B17:D17"/>
    <mergeCell ref="B51:D51"/>
    <mergeCell ref="B52:D52"/>
    <mergeCell ref="B54:D54"/>
    <mergeCell ref="D3:D4"/>
    <mergeCell ref="E3:E4"/>
    <mergeCell ref="G3:G4"/>
    <mergeCell ref="H3:H4"/>
    <mergeCell ref="J3:J4"/>
    <mergeCell ref="K3:K4"/>
    <mergeCell ref="S54:S67"/>
    <mergeCell ref="T54:T67"/>
    <mergeCell ref="V54:V67"/>
    <mergeCell ref="B57:D57"/>
    <mergeCell ref="B69:D69"/>
    <mergeCell ref="R69:R93"/>
    <mergeCell ref="S69:S93"/>
    <mergeCell ref="T69:T93"/>
    <mergeCell ref="V69:V93"/>
    <mergeCell ref="B74:D74"/>
    <mergeCell ref="R54:R67"/>
    <mergeCell ref="D114:E114"/>
    <mergeCell ref="D115:E115"/>
    <mergeCell ref="J115:L115"/>
    <mergeCell ref="B79:D79"/>
    <mergeCell ref="B95:D95"/>
    <mergeCell ref="B98:D98"/>
    <mergeCell ref="B101:D101"/>
    <mergeCell ref="B102:D102"/>
    <mergeCell ref="B108:D108"/>
    <mergeCell ref="J114:K114"/>
    <mergeCell ref="D116:F116"/>
  </mergeCells>
  <pageMargins left="0.27559055118110237" right="0.23622047244094491" top="0.51181102362204722" bottom="0.19685039370078741" header="0.15748031496062992" footer="0.15748031496062992"/>
  <pageSetup paperSize="8" scale="51" orientation="landscape" r:id="rId1"/>
  <headerFooter alignWithMargins="0"/>
  <rowBreaks count="2" manualBreakCount="2">
    <brk id="21" max="21" man="1"/>
    <brk id="33" max="2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6</vt:i4>
      </vt:variant>
    </vt:vector>
  </HeadingPairs>
  <TitlesOfParts>
    <vt:vector size="15" baseType="lpstr">
      <vt:lpstr>Титульна сторінка</vt:lpstr>
      <vt:lpstr>7. Потужність приєднання</vt:lpstr>
      <vt:lpstr>18. Технічний стан сценарій 1</vt:lpstr>
      <vt:lpstr>18. Технічний стан сценарій 2</vt:lpstr>
      <vt:lpstr>19. Незавершене будівництво</vt:lpstr>
      <vt:lpstr>20. План інвестицій </vt:lpstr>
      <vt:lpstr>ТЕО</vt:lpstr>
      <vt:lpstr>21 Перелік заходів сценарій 1</vt:lpstr>
      <vt:lpstr>21. Перелік заходів сценарій 2</vt:lpstr>
      <vt:lpstr>'18. Технічний стан сценарій 1'!Область_печати</vt:lpstr>
      <vt:lpstr>'19. Незавершене будівництво'!Область_печати</vt:lpstr>
      <vt:lpstr>'20. План інвестицій '!Область_печати</vt:lpstr>
      <vt:lpstr>'21 Перелік заходів сценарій 1'!Область_печати</vt:lpstr>
      <vt:lpstr>'21. Перелік заходів сценарій 2'!Область_печати</vt:lpstr>
      <vt:lpstr>'Титульна сторінка'!Область_печати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2019-12-16T15:40:43Z</dcterms:modified>
</cp:coreProperties>
</file>